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5480" windowHeight="7755" activeTab="4"/>
  </bookViews>
  <sheets>
    <sheet name="BS" sheetId="1" r:id="rId1"/>
    <sheet name="Sch-BS" sheetId="3" r:id="rId2"/>
    <sheet name="Draft-BS" sheetId="9" state="hidden" r:id="rId3"/>
    <sheet name="P &amp; L" sheetId="2" r:id="rId4"/>
    <sheet name="Sch-PL" sheetId="4" r:id="rId5"/>
    <sheet name="Draft-P&amp;L" sheetId="6" state="hidden" r:id="rId6"/>
    <sheet name="SC-Reco" sheetId="10" state="hidden" r:id="rId7"/>
    <sheet name="Sheet1" sheetId="11" state="hidden" r:id="rId8"/>
  </sheets>
  <definedNames>
    <definedName name="_Order1" hidden="1">0</definedName>
    <definedName name="_Order2" hidden="1">0</definedName>
    <definedName name="_xlnm.Print_Area" localSheetId="0">BS!$B$1:$E$61</definedName>
    <definedName name="_xlnm.Print_Area" localSheetId="3">'P &amp; L'!$B$1:$E$73</definedName>
    <definedName name="_xlnm.Print_Area" localSheetId="1">'Sch-BS'!$B$2:$F$252</definedName>
    <definedName name="_xlnm.Print_Area" localSheetId="4">'Sch-PL'!$B$1:$F$102</definedName>
    <definedName name="_xlnm.Print_Titles" localSheetId="1">'Sch-BS'!$6:$6</definedName>
    <definedName name="_xlnm.Print_Titles" localSheetId="4">'Sch-PL'!$5:$5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1" i="6"/>
  <c r="G100"/>
  <c r="E100"/>
  <c r="H11" l="1"/>
  <c r="D9"/>
  <c r="J106" i="9" l="1"/>
  <c r="D34" i="2" l="1"/>
  <c r="D33"/>
  <c r="C169" i="3"/>
  <c r="F29" i="4"/>
  <c r="F30" s="1"/>
  <c r="D63"/>
  <c r="D53"/>
  <c r="D246" i="3"/>
  <c r="G222"/>
  <c r="C222"/>
  <c r="C233"/>
  <c r="C237"/>
  <c r="C231"/>
  <c r="C234" s="1"/>
  <c r="C226"/>
  <c r="C228" s="1"/>
  <c r="C221"/>
  <c r="C224" s="1"/>
  <c r="C216"/>
  <c r="C218" s="1"/>
  <c r="C213"/>
  <c r="C212"/>
  <c r="C215" s="1"/>
  <c r="C207"/>
  <c r="C209" s="1"/>
  <c r="D100"/>
  <c r="D247"/>
  <c r="H95" i="9"/>
  <c r="H94"/>
  <c r="H93"/>
  <c r="D68" i="4"/>
  <c r="D8"/>
  <c r="A137" i="11"/>
  <c r="A138" s="1"/>
  <c r="A128"/>
  <c r="A129" s="1"/>
  <c r="D59" i="6"/>
  <c r="D55"/>
  <c r="D218" i="3" l="1"/>
  <c r="D237"/>
  <c r="D44"/>
  <c r="D104"/>
  <c r="D249"/>
  <c r="C118"/>
  <c r="E33" i="1"/>
  <c r="E20"/>
  <c r="D49" i="3" l="1"/>
  <c r="J10" i="10"/>
  <c r="I10"/>
  <c r="O9"/>
  <c r="M9"/>
  <c r="L9"/>
  <c r="L10" s="1"/>
  <c r="H9"/>
  <c r="N9" s="1"/>
  <c r="N10" s="1"/>
  <c r="M8"/>
  <c r="O7"/>
  <c r="M7"/>
  <c r="K7"/>
  <c r="K10" s="1"/>
  <c r="O10" l="1"/>
  <c r="H10"/>
  <c r="C108" i="9" l="1"/>
  <c r="D105" i="3" s="1"/>
  <c r="E119" i="9"/>
  <c r="D12" i="1" s="1"/>
  <c r="C102" i="9"/>
  <c r="E116" s="1"/>
  <c r="E98"/>
  <c r="E96"/>
  <c r="E94"/>
  <c r="D17" i="1" s="1"/>
  <c r="E91" i="9"/>
  <c r="D91"/>
  <c r="D91" i="3" s="1"/>
  <c r="D87" i="9"/>
  <c r="D77"/>
  <c r="E77" s="1"/>
  <c r="D70"/>
  <c r="D65"/>
  <c r="D61"/>
  <c r="D55"/>
  <c r="D51"/>
  <c r="D44"/>
  <c r="D24"/>
  <c r="D23"/>
  <c r="D20"/>
  <c r="E17"/>
  <c r="H104"/>
  <c r="D248" i="3" s="1"/>
  <c r="J96" i="9"/>
  <c r="J90"/>
  <c r="L91" s="1"/>
  <c r="J88"/>
  <c r="J86"/>
  <c r="I83"/>
  <c r="J83" s="1"/>
  <c r="I78"/>
  <c r="I70"/>
  <c r="I59"/>
  <c r="I54"/>
  <c r="I46"/>
  <c r="I31"/>
  <c r="I28"/>
  <c r="I25"/>
  <c r="I22"/>
  <c r="J32" s="1"/>
  <c r="J18"/>
  <c r="J16"/>
  <c r="E13" i="2"/>
  <c r="E39"/>
  <c r="D31"/>
  <c r="D37"/>
  <c r="F33"/>
  <c r="J120" i="9" l="1"/>
  <c r="E44"/>
  <c r="E120" s="1"/>
  <c r="E41" i="2"/>
  <c r="E48" s="1"/>
  <c r="G48" s="1"/>
  <c r="G122" i="9" l="1"/>
  <c r="D29" i="2"/>
  <c r="D49" i="6"/>
  <c r="D78" i="4" s="1"/>
  <c r="E92" i="6"/>
  <c r="D112" i="4" s="1"/>
  <c r="D68" i="6"/>
  <c r="D40"/>
  <c r="D62"/>
  <c r="D90" i="4" s="1"/>
  <c r="D48" i="6"/>
  <c r="D41"/>
  <c r="E42" s="1"/>
  <c r="D42"/>
  <c r="D36"/>
  <c r="D29"/>
  <c r="H23"/>
  <c r="I29" s="1"/>
  <c r="H12"/>
  <c r="I16" s="1"/>
  <c r="D84" i="4"/>
  <c r="D41"/>
  <c r="I22" i="6"/>
  <c r="I19"/>
  <c r="I11"/>
  <c r="E80"/>
  <c r="E49"/>
  <c r="E45"/>
  <c r="E37"/>
  <c r="E33"/>
  <c r="E30"/>
  <c r="E22"/>
  <c r="E15"/>
  <c r="E10"/>
  <c r="F101" i="4"/>
  <c r="F79"/>
  <c r="F74"/>
  <c r="F69"/>
  <c r="F64"/>
  <c r="F59"/>
  <c r="F50"/>
  <c r="F43"/>
  <c r="F35"/>
  <c r="F24"/>
  <c r="F18"/>
  <c r="F11"/>
  <c r="F197" i="3"/>
  <c r="F191"/>
  <c r="F182"/>
  <c r="F170"/>
  <c r="F163"/>
  <c r="F153"/>
  <c r="F139"/>
  <c r="F123"/>
  <c r="F109"/>
  <c r="F85"/>
  <c r="F87" s="1"/>
  <c r="F73"/>
  <c r="F66"/>
  <c r="F61"/>
  <c r="F54"/>
  <c r="G32" i="1"/>
  <c r="E78" i="6" l="1"/>
  <c r="F20" i="4"/>
  <c r="F239" i="3"/>
  <c r="C203"/>
  <c r="C206" s="1"/>
  <c r="D209" s="1"/>
  <c r="F199"/>
  <c r="I95" i="6"/>
  <c r="F75" i="3"/>
  <c r="H64"/>
  <c r="G61"/>
  <c r="H65" s="1"/>
  <c r="D15" i="1"/>
  <c r="D25"/>
  <c r="E95" i="6" l="1"/>
  <c r="E94" s="1"/>
  <c r="G62" s="1"/>
  <c r="D21" i="3"/>
  <c r="D17"/>
  <c r="D16"/>
  <c r="G18"/>
  <c r="D22" l="1"/>
  <c r="D13" s="1"/>
  <c r="C61"/>
  <c r="C60"/>
  <c r="C59"/>
  <c r="C58"/>
  <c r="D61" s="1"/>
  <c r="D10" i="1" l="1"/>
  <c r="D31"/>
  <c r="D30"/>
  <c r="D250" i="3"/>
  <c r="D245"/>
  <c r="D244"/>
  <c r="D243"/>
  <c r="D242"/>
  <c r="D228"/>
  <c r="C197"/>
  <c r="C196"/>
  <c r="C195"/>
  <c r="C194"/>
  <c r="C191"/>
  <c r="C190"/>
  <c r="C189"/>
  <c r="C188"/>
  <c r="C187"/>
  <c r="C186"/>
  <c r="C185"/>
  <c r="C182"/>
  <c r="C181"/>
  <c r="C180"/>
  <c r="C179"/>
  <c r="C178"/>
  <c r="C177"/>
  <c r="C176"/>
  <c r="C175"/>
  <c r="C174"/>
  <c r="C173"/>
  <c r="C170"/>
  <c r="C167"/>
  <c r="C166"/>
  <c r="C162"/>
  <c r="C161"/>
  <c r="C160"/>
  <c r="C159"/>
  <c r="C158"/>
  <c r="C157"/>
  <c r="C156"/>
  <c r="C153"/>
  <c r="C152"/>
  <c r="C151"/>
  <c r="C150"/>
  <c r="C149"/>
  <c r="C148"/>
  <c r="C147"/>
  <c r="C146"/>
  <c r="C145"/>
  <c r="C144"/>
  <c r="C143"/>
  <c r="C137"/>
  <c r="C136"/>
  <c r="C135"/>
  <c r="C134"/>
  <c r="C133"/>
  <c r="D133" s="1"/>
  <c r="C132"/>
  <c r="C131"/>
  <c r="C130"/>
  <c r="D130" s="1"/>
  <c r="C129"/>
  <c r="C128"/>
  <c r="C127"/>
  <c r="D127" s="1"/>
  <c r="C121"/>
  <c r="C120"/>
  <c r="C119"/>
  <c r="C117"/>
  <c r="C116"/>
  <c r="C115"/>
  <c r="D112"/>
  <c r="D108"/>
  <c r="D107"/>
  <c r="D106"/>
  <c r="D103"/>
  <c r="D102"/>
  <c r="D99"/>
  <c r="D98"/>
  <c r="D97"/>
  <c r="D96"/>
  <c r="D95"/>
  <c r="D94"/>
  <c r="D93"/>
  <c r="D109" s="1"/>
  <c r="C85"/>
  <c r="C84"/>
  <c r="C83"/>
  <c r="C82"/>
  <c r="C81"/>
  <c r="C80"/>
  <c r="C79"/>
  <c r="C73"/>
  <c r="C72"/>
  <c r="C71"/>
  <c r="C70"/>
  <c r="C69"/>
  <c r="C66"/>
  <c r="C65"/>
  <c r="C64"/>
  <c r="D35"/>
  <c r="D53"/>
  <c r="D52"/>
  <c r="D51"/>
  <c r="D50"/>
  <c r="D48"/>
  <c r="D47"/>
  <c r="D46"/>
  <c r="D45"/>
  <c r="D42"/>
  <c r="D41"/>
  <c r="D40"/>
  <c r="D39"/>
  <c r="D38"/>
  <c r="D37"/>
  <c r="D36"/>
  <c r="D34"/>
  <c r="D33"/>
  <c r="C30"/>
  <c r="C29"/>
  <c r="D26"/>
  <c r="D44" i="2"/>
  <c r="D36"/>
  <c r="D35"/>
  <c r="D32"/>
  <c r="D30"/>
  <c r="D26"/>
  <c r="D20"/>
  <c r="D100" i="4"/>
  <c r="D99"/>
  <c r="D98"/>
  <c r="D97"/>
  <c r="D96"/>
  <c r="D95"/>
  <c r="D94"/>
  <c r="D93"/>
  <c r="D92"/>
  <c r="D91"/>
  <c r="D89"/>
  <c r="D88"/>
  <c r="D87"/>
  <c r="D86"/>
  <c r="D85"/>
  <c r="D83"/>
  <c r="D82"/>
  <c r="D77"/>
  <c r="D73"/>
  <c r="D72"/>
  <c r="D71"/>
  <c r="D69"/>
  <c r="D22" i="2" s="1"/>
  <c r="D62" i="4"/>
  <c r="D64" s="1"/>
  <c r="D58"/>
  <c r="D57"/>
  <c r="D56"/>
  <c r="D55"/>
  <c r="D54"/>
  <c r="D49"/>
  <c r="D48"/>
  <c r="D47"/>
  <c r="D46"/>
  <c r="D42"/>
  <c r="D40"/>
  <c r="D39"/>
  <c r="D38"/>
  <c r="D34"/>
  <c r="D33"/>
  <c r="D29"/>
  <c r="D28"/>
  <c r="D27"/>
  <c r="D23"/>
  <c r="D24" s="1"/>
  <c r="D10" i="2" s="1"/>
  <c r="C15" i="4"/>
  <c r="C14"/>
  <c r="C13"/>
  <c r="C11"/>
  <c r="C10"/>
  <c r="D46" i="2"/>
  <c r="D136" i="3"/>
  <c r="D73" l="1"/>
  <c r="D251"/>
  <c r="D59" i="4"/>
  <c r="D121" i="3"/>
  <c r="D153"/>
  <c r="D18" i="4"/>
  <c r="D101"/>
  <c r="D16" i="1"/>
  <c r="D11" i="4"/>
  <c r="D66" i="3"/>
  <c r="D163"/>
  <c r="D182"/>
  <c r="D239"/>
  <c r="D29" i="1"/>
  <c r="D123" i="3"/>
  <c r="D24" i="1" s="1"/>
  <c r="D170" i="3"/>
  <c r="D191"/>
  <c r="D197"/>
  <c r="D28" i="1"/>
  <c r="D85" i="3"/>
  <c r="D87" s="1"/>
  <c r="D14" i="1" s="1"/>
  <c r="D79" i="4"/>
  <c r="D24" i="2" s="1"/>
  <c r="D30" i="4"/>
  <c r="D21" i="2"/>
  <c r="D50" i="4"/>
  <c r="D18" i="2" s="1"/>
  <c r="D19"/>
  <c r="D74" i="4"/>
  <c r="D23" i="2" s="1"/>
  <c r="D43" i="4"/>
  <c r="D17" i="2" s="1"/>
  <c r="D35" i="4"/>
  <c r="D16" i="2" s="1"/>
  <c r="D139" i="3"/>
  <c r="D26" i="1" s="1"/>
  <c r="D30" i="3"/>
  <c r="D10"/>
  <c r="D20" i="4" l="1"/>
  <c r="D9" i="2" s="1"/>
  <c r="D199" i="3"/>
  <c r="D27" i="1" s="1"/>
  <c r="D33" s="1"/>
  <c r="D54" i="3"/>
  <c r="D11" i="1" s="1"/>
  <c r="D11" i="2"/>
  <c r="D110" i="4"/>
  <c r="D25" i="2"/>
  <c r="D39" s="1"/>
  <c r="D111" i="4"/>
  <c r="D75" i="3"/>
  <c r="D13" i="1" s="1"/>
  <c r="I229" i="3"/>
  <c r="D20" i="1" l="1"/>
  <c r="F32" s="1"/>
  <c r="D13" i="2"/>
  <c r="D113" i="4"/>
  <c r="E113" s="1"/>
  <c r="D41" i="2"/>
  <c r="D48" s="1"/>
  <c r="F48" s="1"/>
  <c r="E122" i="9"/>
  <c r="C13" i="1"/>
  <c r="C14" s="1"/>
  <c r="C26"/>
  <c r="C27" s="1"/>
  <c r="C28" s="1"/>
  <c r="C29" s="1"/>
  <c r="C9" i="2" s="1"/>
  <c r="C16" l="1"/>
  <c r="C17" s="1"/>
  <c r="C18" s="1"/>
  <c r="C19" s="1"/>
  <c r="C22" s="1"/>
  <c r="C23" s="1"/>
  <c r="C24" s="1"/>
  <c r="C25" s="1"/>
</calcChain>
</file>

<file path=xl/sharedStrings.xml><?xml version="1.0" encoding="utf-8"?>
<sst xmlns="http://schemas.openxmlformats.org/spreadsheetml/2006/main" count="789" uniqueCount="539">
  <si>
    <t>Particulars</t>
  </si>
  <si>
    <t>Note  No.</t>
  </si>
  <si>
    <t xml:space="preserve"> </t>
  </si>
  <si>
    <t>Total</t>
  </si>
  <si>
    <t>Notes on Accounts</t>
  </si>
  <si>
    <t>Accounting Policies</t>
  </si>
  <si>
    <t>Chartered Accountants</t>
  </si>
  <si>
    <t>INCOME</t>
  </si>
  <si>
    <t xml:space="preserve">Total Revenue </t>
  </si>
  <si>
    <t>EXPENSES</t>
  </si>
  <si>
    <t>Total Expenses</t>
  </si>
  <si>
    <t>Profit Before Tax</t>
  </si>
  <si>
    <t>Other Liabilities</t>
  </si>
  <si>
    <t>Bank Charges</t>
  </si>
  <si>
    <t>Share Capital</t>
  </si>
  <si>
    <t>Borrowings</t>
  </si>
  <si>
    <t>Deposits and Other Accounts</t>
  </si>
  <si>
    <t>Reserve Fund, Other Funds and Reserves</t>
  </si>
  <si>
    <t>Profit and Loss Account</t>
  </si>
  <si>
    <t>Interest Payable</t>
  </si>
  <si>
    <t>Cash and Bank Balances</t>
  </si>
  <si>
    <t>Money at Call and Short Notice</t>
  </si>
  <si>
    <t>Investments</t>
  </si>
  <si>
    <t>Advances</t>
  </si>
  <si>
    <t>Fixed Assets</t>
  </si>
  <si>
    <t>Other Assets</t>
  </si>
  <si>
    <t>Commission and Brokerage</t>
  </si>
  <si>
    <t>Interest on Deposits &amp; Borrowings</t>
  </si>
  <si>
    <t>Salaries, Allowances &amp; Provident Fund</t>
  </si>
  <si>
    <t>Rent, Taxes, Insurance &amp; Electricity Charges</t>
  </si>
  <si>
    <t>Legal Charges</t>
  </si>
  <si>
    <t>Postage and Telephone</t>
  </si>
  <si>
    <t>Repairs to Bank Properties</t>
  </si>
  <si>
    <t>Printing, Stationery and Advertisement</t>
  </si>
  <si>
    <t>Other Expenditure</t>
  </si>
  <si>
    <t>Depreciation</t>
  </si>
  <si>
    <t>Provisions and Contingencies :</t>
  </si>
  <si>
    <t xml:space="preserve">   Staff Gratuity Fund</t>
  </si>
  <si>
    <t xml:space="preserve">   Study Tour</t>
  </si>
  <si>
    <t xml:space="preserve">   Provision for Other Assets</t>
  </si>
  <si>
    <t>a) Bonus/Exgratia</t>
  </si>
  <si>
    <t>b) Staff Gratuity Fund</t>
  </si>
  <si>
    <t>d) Study Tour</t>
  </si>
  <si>
    <t>e) Bad &amp; Doubtful Debt Reserve</t>
  </si>
  <si>
    <t>Provision for Taxes:</t>
  </si>
  <si>
    <t>Provision for Income Tax</t>
  </si>
  <si>
    <t>Provision for Deferred Tax</t>
  </si>
  <si>
    <t>Income Tax of earlier years</t>
  </si>
  <si>
    <t>Net Profit for the year</t>
  </si>
  <si>
    <t>Interest and Discount</t>
  </si>
  <si>
    <t>1,50,00,000 shares of 100/- each</t>
  </si>
  <si>
    <t>Paid-up Share Capital</t>
  </si>
  <si>
    <t>Issued And Subscribed</t>
  </si>
  <si>
    <t>Authorised Share Capital</t>
  </si>
  <si>
    <t xml:space="preserve">   Statutory Reserves</t>
  </si>
  <si>
    <t xml:space="preserve">   Building Fund</t>
  </si>
  <si>
    <t xml:space="preserve">   Dividend Equalisation Fund</t>
  </si>
  <si>
    <t xml:space="preserve">   Bad and Doubtful Debt Reserve</t>
  </si>
  <si>
    <t xml:space="preserve">   Investment Depreciation Reserve</t>
  </si>
  <si>
    <t xml:space="preserve">   Agr. Cr. Guarantee Relief Fund</t>
  </si>
  <si>
    <t xml:space="preserve">   Common Good Fund</t>
  </si>
  <si>
    <t xml:space="preserve">   Special Assistance Fund</t>
  </si>
  <si>
    <t xml:space="preserve">   Farmers Welfare Fund</t>
  </si>
  <si>
    <t xml:space="preserve">   Cadre Fund</t>
  </si>
  <si>
    <t xml:space="preserve">   PACS/DCCB Development Fund</t>
  </si>
  <si>
    <t xml:space="preserve">   Death Relief Fund</t>
  </si>
  <si>
    <t xml:space="preserve">   Contingent Reserves</t>
  </si>
  <si>
    <t xml:space="preserve">   Scheme for rectification of Imbalance</t>
  </si>
  <si>
    <t xml:space="preserve">   Co-operative Development Fund</t>
  </si>
  <si>
    <t xml:space="preserve">   Deposit Insurance Scheme - PACS</t>
  </si>
  <si>
    <t xml:space="preserve">   Rural Farmer's Socio-Economic</t>
  </si>
  <si>
    <t xml:space="preserve">   Revaluation Reserves - Land</t>
  </si>
  <si>
    <t xml:space="preserve">   Revaluation Reserves - Building</t>
  </si>
  <si>
    <t xml:space="preserve">   Investment Fluctuation Reserve</t>
  </si>
  <si>
    <t>Note 3 : Deposits and Other Accounts</t>
  </si>
  <si>
    <t>Term Deposits :</t>
  </si>
  <si>
    <t xml:space="preserve">   Individuals</t>
  </si>
  <si>
    <t xml:space="preserve">   Co-operative Societies</t>
  </si>
  <si>
    <t xml:space="preserve">   Urban Banks</t>
  </si>
  <si>
    <t xml:space="preserve">   DCC Banks</t>
  </si>
  <si>
    <t>Savings Bank Deposit :</t>
  </si>
  <si>
    <t>Current Deposits :</t>
  </si>
  <si>
    <t xml:space="preserve">   State Co-operative Banks</t>
  </si>
  <si>
    <t>Agricultural Credit Stabilisation Fund :</t>
  </si>
  <si>
    <t xml:space="preserve">   Bank</t>
  </si>
  <si>
    <t xml:space="preserve">   Grants &amp; Subsidy</t>
  </si>
  <si>
    <t>Other Funds and Reserves</t>
  </si>
  <si>
    <t>Note 4 : Borrowings</t>
  </si>
  <si>
    <t xml:space="preserve">   ST - SAO - OC</t>
  </si>
  <si>
    <t xml:space="preserve">   ST - SAO - OPP</t>
  </si>
  <si>
    <t xml:space="preserve">   ST - SAO - NPDP</t>
  </si>
  <si>
    <t xml:space="preserve">   MT - Long Term</t>
  </si>
  <si>
    <t xml:space="preserve">   MT - Schematic</t>
  </si>
  <si>
    <t xml:space="preserve">   MT - NFS</t>
  </si>
  <si>
    <t xml:space="preserve">   MT - PODF</t>
  </si>
  <si>
    <t>From NABARD :</t>
  </si>
  <si>
    <t xml:space="preserve">   SLPO</t>
  </si>
  <si>
    <t xml:space="preserve">   Suspense Liabilities</t>
  </si>
  <si>
    <t xml:space="preserve">   Demand Draft Payable</t>
  </si>
  <si>
    <t xml:space="preserve">   Staff Bonus &amp; Exgratia</t>
  </si>
  <si>
    <t xml:space="preserve">   Regional Provident Fund</t>
  </si>
  <si>
    <t xml:space="preserve">   NCDC III Project Liabilities</t>
  </si>
  <si>
    <t xml:space="preserve">   ACSTI Accounts</t>
  </si>
  <si>
    <t xml:space="preserve">   Provision for NPAs</t>
  </si>
  <si>
    <t xml:space="preserve">   Income Tax Collected &amp; Payable</t>
  </si>
  <si>
    <t xml:space="preserve">   Incentives</t>
  </si>
  <si>
    <t xml:space="preserve">   Income Tax Provision</t>
  </si>
  <si>
    <t xml:space="preserve">   Contingent Provision against Standard Assets</t>
  </si>
  <si>
    <t>Note 6 : Cash and Bank Balances</t>
  </si>
  <si>
    <t xml:space="preserve">   Cash on Hand   </t>
  </si>
  <si>
    <t xml:space="preserve">   Reserve Bank of India</t>
  </si>
  <si>
    <t xml:space="preserve">   State Bank of India</t>
  </si>
  <si>
    <t xml:space="preserve">   HDFC Bank</t>
  </si>
  <si>
    <t xml:space="preserve">   CBLO A/c with CCIL</t>
  </si>
  <si>
    <t xml:space="preserve">   Bank of Maharashtra</t>
  </si>
  <si>
    <t>Balances with Banks :</t>
  </si>
  <si>
    <t>Note 7 : Investments</t>
  </si>
  <si>
    <t xml:space="preserve">      Book Value</t>
  </si>
  <si>
    <t xml:space="preserve">      Face Value</t>
  </si>
  <si>
    <t>In Central Government Securities:</t>
  </si>
  <si>
    <t>In State Government Securities:</t>
  </si>
  <si>
    <t>Shares in Co-operative Institutions:</t>
  </si>
  <si>
    <t>Other Investments:</t>
  </si>
  <si>
    <t>Note 8 : Advances</t>
  </si>
  <si>
    <t xml:space="preserve">   SAO - OC</t>
  </si>
  <si>
    <t xml:space="preserve">   SAO - OPP</t>
  </si>
  <si>
    <t xml:space="preserve">   SAO - NPDP</t>
  </si>
  <si>
    <t xml:space="preserve">   Vehicle Loan</t>
  </si>
  <si>
    <t xml:space="preserve">   Jewel Loan</t>
  </si>
  <si>
    <t xml:space="preserve">   Staff Advance</t>
  </si>
  <si>
    <t xml:space="preserve">   Apex Vruthipara</t>
  </si>
  <si>
    <t xml:space="preserve">   Apex Personal</t>
  </si>
  <si>
    <t xml:space="preserve">   Apex Travel</t>
  </si>
  <si>
    <t xml:space="preserve">   CCR I</t>
  </si>
  <si>
    <t xml:space="preserve">   CCR II</t>
  </si>
  <si>
    <t xml:space="preserve">   CCR IV</t>
  </si>
  <si>
    <t xml:space="preserve">   CCR IX</t>
  </si>
  <si>
    <t xml:space="preserve">   CCR X</t>
  </si>
  <si>
    <t>Short Term Loans:</t>
  </si>
  <si>
    <t>Cash Credit Accounts:</t>
  </si>
  <si>
    <t xml:space="preserve">   Debit Balances in SB/CA A/cs</t>
  </si>
  <si>
    <t xml:space="preserve">   Schematic</t>
  </si>
  <si>
    <t xml:space="preserve">   Non Agricultural</t>
  </si>
  <si>
    <t xml:space="preserve">   NFS</t>
  </si>
  <si>
    <t xml:space="preserve">   MT-PODF-PACS as MSCS</t>
  </si>
  <si>
    <t xml:space="preserve">   Advance against Deposits</t>
  </si>
  <si>
    <t xml:space="preserve">   Advance against Pledge of NSC/IVP</t>
  </si>
  <si>
    <t xml:space="preserve">   Advance-Apex Pension</t>
  </si>
  <si>
    <t xml:space="preserve">   Advance-Apex Women</t>
  </si>
  <si>
    <t xml:space="preserve">   Advance-Apex Overdraft</t>
  </si>
  <si>
    <t xml:space="preserve">   Apex BDA</t>
  </si>
  <si>
    <t xml:space="preserve">   Housing Loan - Staff</t>
  </si>
  <si>
    <t xml:space="preserve">   Housing Loan - Public</t>
  </si>
  <si>
    <t xml:space="preserve">   Project Loan</t>
  </si>
  <si>
    <t xml:space="preserve">   House Mortage Loan</t>
  </si>
  <si>
    <t xml:space="preserve">   Long Term loans-nabard</t>
  </si>
  <si>
    <t xml:space="preserve">   Education Loan</t>
  </si>
  <si>
    <t xml:space="preserve">   MCSM Ltd.,</t>
  </si>
  <si>
    <t xml:space="preserve">   MCOM Ltd.,</t>
  </si>
  <si>
    <t xml:space="preserve">   SVCTM Ltd.,</t>
  </si>
  <si>
    <t xml:space="preserve">   RSNG Ltd.,</t>
  </si>
  <si>
    <t xml:space="preserve">   Overdraft Staff</t>
  </si>
  <si>
    <t>Overdrafts:</t>
  </si>
  <si>
    <t>Medium Term Loans:</t>
  </si>
  <si>
    <t>Long Term Loans:</t>
  </si>
  <si>
    <t>NCDC III Project:</t>
  </si>
  <si>
    <t>Note 9 : Fixed Assets</t>
  </si>
  <si>
    <t>Vehicles less Depreciation</t>
  </si>
  <si>
    <t>Opening balance</t>
  </si>
  <si>
    <t>Add : Additions during the year</t>
  </si>
  <si>
    <t>Less : Sales during the year</t>
  </si>
  <si>
    <t>Less : Depreciation for the year</t>
  </si>
  <si>
    <t>Less : Depreciation on sale of assets</t>
  </si>
  <si>
    <t>Furnitures &amp; Fixtures less Depreciation:</t>
  </si>
  <si>
    <t>Premises (including Land):</t>
  </si>
  <si>
    <t>Computers less Depreciation:</t>
  </si>
  <si>
    <t>Opening WDV</t>
  </si>
  <si>
    <t>Less : Depreciation upto previous year</t>
  </si>
  <si>
    <t>Note 10 : Other Assets</t>
  </si>
  <si>
    <t xml:space="preserve">   Sundry Assets</t>
  </si>
  <si>
    <t xml:space="preserve">   Suspense Assets</t>
  </si>
  <si>
    <t xml:space="preserve">   Income Tax Receivable</t>
  </si>
  <si>
    <t xml:space="preserve">   Clearing Returns</t>
  </si>
  <si>
    <t xml:space="preserve">   NCDC III Project Assets</t>
  </si>
  <si>
    <t xml:space="preserve">   ACSTI A/cs </t>
  </si>
  <si>
    <t xml:space="preserve">   Advance Income Tax </t>
  </si>
  <si>
    <t>Note 1 : Share Capital</t>
  </si>
  <si>
    <t>Note 2 : Reserve Fund &amp; Other Funds</t>
  </si>
  <si>
    <t>Note 11 : Interest and Discount</t>
  </si>
  <si>
    <t xml:space="preserve">   Interest on Loans &amp; CCR</t>
  </si>
  <si>
    <t xml:space="preserve">   Interest on Investments-GTS</t>
  </si>
  <si>
    <t xml:space="preserve">   Interest on Investments-Banks</t>
  </si>
  <si>
    <t xml:space="preserve">   Income from Sale of Bank Assets</t>
  </si>
  <si>
    <t xml:space="preserve">   Excess Investment Depreciation Reserve</t>
  </si>
  <si>
    <t xml:space="preserve">   Incentives Received from RBI</t>
  </si>
  <si>
    <t xml:space="preserve">   Excess old Bad &amp; Doubtful Debt Reserve</t>
  </si>
  <si>
    <t>Note 12 : Commission and Brokerage</t>
  </si>
  <si>
    <t>Note 13 : Dividend and Miscellaneoous Receipts</t>
  </si>
  <si>
    <t>Dividend</t>
  </si>
  <si>
    <t>Miscellaneous Receipts</t>
  </si>
  <si>
    <t>Note 14 : Interest on Deposits &amp; Borrowings</t>
  </si>
  <si>
    <t xml:space="preserve">   Interest paid on Deposits</t>
  </si>
  <si>
    <t xml:space="preserve">   Interest on Borrowings</t>
  </si>
  <si>
    <t>Note 15 : Salaries, Allowances &amp; Provident Fund</t>
  </si>
  <si>
    <t xml:space="preserve">   Salaries</t>
  </si>
  <si>
    <t xml:space="preserve">   Medical Expenses</t>
  </si>
  <si>
    <t xml:space="preserve">   Staff Provident Fund</t>
  </si>
  <si>
    <t>Note 16 : Directors Fee, Local Committee Members fee 
and Allowances</t>
  </si>
  <si>
    <t xml:space="preserve">   Honorarium to President</t>
  </si>
  <si>
    <t xml:space="preserve">   Honorarium to Vice President</t>
  </si>
  <si>
    <t xml:space="preserve">   Directors' Fees and Allowances</t>
  </si>
  <si>
    <t xml:space="preserve">   Study Tour to Directors</t>
  </si>
  <si>
    <t>Note 17 : Rent, Taxes, Insurance &amp; Electricity Charges</t>
  </si>
  <si>
    <t xml:space="preserve">   Rent</t>
  </si>
  <si>
    <t xml:space="preserve">   Building Tax</t>
  </si>
  <si>
    <t xml:space="preserve">   Profession Tax</t>
  </si>
  <si>
    <t xml:space="preserve">   Insurance</t>
  </si>
  <si>
    <t xml:space="preserve">   Water and Light</t>
  </si>
  <si>
    <t xml:space="preserve">   Filing Fee - Income Tax</t>
  </si>
  <si>
    <t>Note 18 : Postage and Telephone</t>
  </si>
  <si>
    <t xml:space="preserve">   Postage</t>
  </si>
  <si>
    <t xml:space="preserve">   Telephone</t>
  </si>
  <si>
    <t>Audit fees</t>
  </si>
  <si>
    <t>Note 19 : Audit fees</t>
  </si>
  <si>
    <t xml:space="preserve">   Statutory Audit Fee</t>
  </si>
  <si>
    <t xml:space="preserve">   Other Services</t>
  </si>
  <si>
    <t>Note 20 : Repairs to Bank Properties</t>
  </si>
  <si>
    <t xml:space="preserve">   Repairs to Vehicles</t>
  </si>
  <si>
    <t xml:space="preserve">   Repairs to Furniture</t>
  </si>
  <si>
    <t xml:space="preserve">   Repairs to Buildings</t>
  </si>
  <si>
    <t>Note 21 : Printing, Stationery and Advertisement</t>
  </si>
  <si>
    <t xml:space="preserve">   Printing and Stationery</t>
  </si>
  <si>
    <t xml:space="preserve">   Advertisement and Publicity</t>
  </si>
  <si>
    <t>Note 22 : Other Expenditure</t>
  </si>
  <si>
    <t xml:space="preserve">   RBI RTGS Maintainence</t>
  </si>
  <si>
    <t xml:space="preserve">   TA and Inspection</t>
  </si>
  <si>
    <t xml:space="preserve">   Misceleneous expenditure</t>
  </si>
  <si>
    <t xml:space="preserve">   News Papers &amp; Periodicals</t>
  </si>
  <si>
    <t xml:space="preserve">   Vehicle Maintenance</t>
  </si>
  <si>
    <t xml:space="preserve">   Consultancy Specialist Charges</t>
  </si>
  <si>
    <t xml:space="preserve">   Training to Staff</t>
  </si>
  <si>
    <t xml:space="preserve">   Guest House Contingency</t>
  </si>
  <si>
    <t xml:space="preserve">   Subscription to Co-operative Institutions</t>
  </si>
  <si>
    <t xml:space="preserve">   Institutions</t>
  </si>
  <si>
    <t xml:space="preserve">   Computer Maintenance</t>
  </si>
  <si>
    <t xml:space="preserve">   Hospitality Expenses</t>
  </si>
  <si>
    <t xml:space="preserve">   Gift to Staff</t>
  </si>
  <si>
    <t xml:space="preserve">   Staff Bonus/Exgratia</t>
  </si>
  <si>
    <t xml:space="preserve">   Total Management Expenses (2 to 10)</t>
  </si>
  <si>
    <t xml:space="preserve">   Subscription to other than Co-operative Institutions</t>
  </si>
  <si>
    <t xml:space="preserve">   Infrastructure Develop Assistance to Member Banks</t>
  </si>
  <si>
    <t>See accompanying notes forming part of the financial statements</t>
  </si>
  <si>
    <t>I. CAPITAL AND LIABILITIES</t>
  </si>
  <si>
    <t>II. PROPERTY AND ASSETS</t>
  </si>
  <si>
    <t>Partner</t>
  </si>
  <si>
    <t>THE  KARNATAKA  STATE  CO-OPERATIVE  APEX  BANK  LIMITED</t>
  </si>
  <si>
    <t xml:space="preserve">          THE  KARNATAKA  STATE  CO-OPERATIVE  APEX  BANK  LIMITED</t>
  </si>
  <si>
    <t xml:space="preserve">   Uniform to Officers</t>
  </si>
  <si>
    <t xml:space="preserve">   Incentives to Member Banks</t>
  </si>
  <si>
    <t>President                          Director</t>
  </si>
  <si>
    <t>Chief Executive Officer              Secretary              CGM (A &amp; D)                     CGM (F &amp; A)                  GM (Banking)</t>
  </si>
  <si>
    <t xml:space="preserve">  Year ended 
March  31, 2017</t>
  </si>
  <si>
    <t>Note 5 : Other Liabilities</t>
  </si>
  <si>
    <t xml:space="preserve">   Installment Loan</t>
  </si>
  <si>
    <t>Co-Operative Socieities</t>
  </si>
  <si>
    <t>Advance-Apex Rent</t>
  </si>
  <si>
    <t>Branch Adjustment</t>
  </si>
  <si>
    <t>Contribution to Kannada Sahitya Parishat</t>
  </si>
  <si>
    <t>Amortization of GOI Securities</t>
  </si>
  <si>
    <t>Centenary Celebration Expenses</t>
  </si>
  <si>
    <t>ATM Charges</t>
  </si>
  <si>
    <t>Dividend and Miscellaneous Receipts</t>
  </si>
  <si>
    <t>Excess Centenary Year Celebration Fund</t>
  </si>
  <si>
    <t>Karnataka State Co-operative Apex Bank Limited</t>
  </si>
  <si>
    <t>No. 1, Pampa Mahakavi Road, Chamarajpet, Bangalore - 560 018</t>
  </si>
  <si>
    <t>A.O. Section</t>
  </si>
  <si>
    <t>Date: 17-07-2017</t>
  </si>
  <si>
    <t>Sl</t>
  </si>
  <si>
    <t>Expenditure</t>
  </si>
  <si>
    <t>Amount</t>
  </si>
  <si>
    <t>Income</t>
  </si>
  <si>
    <t>Interest on Dep, Borrowings and Other A/cs</t>
  </si>
  <si>
    <t xml:space="preserve">   Interest on Deposits</t>
  </si>
  <si>
    <t xml:space="preserve">   Interest on Invt - GTS</t>
  </si>
  <si>
    <t xml:space="preserve">   Interest on Invt - Banks</t>
  </si>
  <si>
    <t>Salaries, Allowances and Provident Fund</t>
  </si>
  <si>
    <t xml:space="preserve">   Income from sale of Bank Assets</t>
  </si>
  <si>
    <t xml:space="preserve">   Excess Cent year celaberation fund</t>
  </si>
  <si>
    <t xml:space="preserve">   Incentives received from RBI</t>
  </si>
  <si>
    <t xml:space="preserve">   Excess Prov in Invest Dep Reserve</t>
  </si>
  <si>
    <t xml:space="preserve">   Excess Old Bad &amp; Doubtful Debt Reserve</t>
  </si>
  <si>
    <t xml:space="preserve">Directors' &amp; Committee Members' Fee and </t>
  </si>
  <si>
    <t>Allowances</t>
  </si>
  <si>
    <t>Commission, Exchange &amp; Brokerage</t>
  </si>
  <si>
    <t xml:space="preserve">   Bank Charges</t>
  </si>
  <si>
    <t xml:space="preserve">   Dividend</t>
  </si>
  <si>
    <t xml:space="preserve">   Service Charges(loans)</t>
  </si>
  <si>
    <t>Rent, Taxes, Insurance and Lighting</t>
  </si>
  <si>
    <t xml:space="preserve">   PMJJBY</t>
  </si>
  <si>
    <t xml:space="preserve">   NPCI  Charges Received</t>
  </si>
  <si>
    <t xml:space="preserve">   Locker Rent</t>
  </si>
  <si>
    <t xml:space="preserve">   Loan processing Charges</t>
  </si>
  <si>
    <t xml:space="preserve">   Loan Application Charges</t>
  </si>
  <si>
    <t xml:space="preserve">   E-stamping Service Charges</t>
  </si>
  <si>
    <t xml:space="preserve">   Legal Charges</t>
  </si>
  <si>
    <t>Postage and Telephone charges</t>
  </si>
  <si>
    <t>Auditor's Fees</t>
  </si>
  <si>
    <t xml:space="preserve">   Audit Cost to CAs</t>
  </si>
  <si>
    <t>Other Expenditures</t>
  </si>
  <si>
    <t xml:space="preserve">   Contribution to Kannada sahitya Parshit</t>
  </si>
  <si>
    <t xml:space="preserve">   Amortization of GOI Securities</t>
  </si>
  <si>
    <t xml:space="preserve">   Centenary yr celeberation expenses</t>
  </si>
  <si>
    <t xml:space="preserve">   Consultancy Special charges</t>
  </si>
  <si>
    <t xml:space="preserve">   ATM Charges</t>
  </si>
  <si>
    <t xml:space="preserve">   RTGS Maintainence</t>
  </si>
  <si>
    <t xml:space="preserve">   Loss on Sale/Conversion of Govt. Securities </t>
  </si>
  <si>
    <t xml:space="preserve">   Uniform to Staff</t>
  </si>
  <si>
    <t xml:space="preserve">   Infrastructure Develop Assistance to Member </t>
  </si>
  <si>
    <t xml:space="preserve">   Banks</t>
  </si>
  <si>
    <t xml:space="preserve">   Diff IT paid (AY 2015-16)</t>
  </si>
  <si>
    <t xml:space="preserve">   Diff Income Tax paid (Ay.2008-09)</t>
  </si>
  <si>
    <t xml:space="preserve">   Diff Income Tax paid (AY 2013-2014)</t>
  </si>
  <si>
    <t xml:space="preserve">   Income tax paid</t>
  </si>
  <si>
    <t>Provisions</t>
  </si>
  <si>
    <t xml:space="preserve">   Bonus/Exgratia</t>
  </si>
  <si>
    <t xml:space="preserve">   Bad &amp; Doubtful Debt Reserve</t>
  </si>
  <si>
    <t xml:space="preserve">   Income Tax</t>
  </si>
  <si>
    <t>Net Profit</t>
  </si>
  <si>
    <t>Capital and Liabilities</t>
  </si>
  <si>
    <t>Property and Assets</t>
  </si>
  <si>
    <t>Capital</t>
  </si>
  <si>
    <t>Cash On Hand &amp; Bank Balances</t>
  </si>
  <si>
    <t xml:space="preserve">   A. Authorised share capital</t>
  </si>
  <si>
    <t xml:space="preserve">   Cash On Hand</t>
  </si>
  <si>
    <t xml:space="preserve">      15000000 shares of 100/- each</t>
  </si>
  <si>
    <t xml:space="preserve">   B. Subscribed share capital</t>
  </si>
  <si>
    <t xml:space="preserve">      8387577 shares of 100/- each</t>
  </si>
  <si>
    <t xml:space="preserve">   C. Paid-up share capital</t>
  </si>
  <si>
    <t xml:space="preserve">      Co-operative institutions</t>
  </si>
  <si>
    <t xml:space="preserve">   CBLO A/c With CCIL</t>
  </si>
  <si>
    <t xml:space="preserve">      Other than co-op institutions</t>
  </si>
  <si>
    <t xml:space="preserve">   Bank of Maharastra</t>
  </si>
  <si>
    <t xml:space="preserve">      State Government</t>
  </si>
  <si>
    <t xml:space="preserve">-    </t>
  </si>
  <si>
    <t>Reserve Fund and other reserves</t>
  </si>
  <si>
    <t xml:space="preserve">   Agricultural Credit Stabilisation Fund</t>
  </si>
  <si>
    <t xml:space="preserve">   In Central Government Securities</t>
  </si>
  <si>
    <t xml:space="preserve">      Bank</t>
  </si>
  <si>
    <t xml:space="preserve">      Grants &amp; Subsidy</t>
  </si>
  <si>
    <t xml:space="preserve">   Agricultural Credit Guarantee Relief Fund</t>
  </si>
  <si>
    <t xml:space="preserve">   In State Government Securities</t>
  </si>
  <si>
    <t xml:space="preserve">   Other Funds and Reserves</t>
  </si>
  <si>
    <t xml:space="preserve">      Capital Reserve</t>
  </si>
  <si>
    <t xml:space="preserve">      Building Fund</t>
  </si>
  <si>
    <t xml:space="preserve">   Shares in Co-operative Institutions</t>
  </si>
  <si>
    <t xml:space="preserve">      Dividend Equalisation Fund</t>
  </si>
  <si>
    <t xml:space="preserve">      Bad and Doubtful Debts Reserve</t>
  </si>
  <si>
    <t xml:space="preserve">      Investment Depreciation Reserve</t>
  </si>
  <si>
    <t xml:space="preserve">   Other Investments</t>
  </si>
  <si>
    <t xml:space="preserve">      Investment Fluctuation Reserve</t>
  </si>
  <si>
    <t xml:space="preserve">      Common Good Fund</t>
  </si>
  <si>
    <t xml:space="preserve">      PACS/DCCB Development Fund</t>
  </si>
  <si>
    <t xml:space="preserve">      Special Assistance Fund</t>
  </si>
  <si>
    <t xml:space="preserve">      Farmers Welfare Fund</t>
  </si>
  <si>
    <t xml:space="preserve">   ST Loans</t>
  </si>
  <si>
    <t xml:space="preserve">      Cadre Fund</t>
  </si>
  <si>
    <t xml:space="preserve">      SAO-OC</t>
  </si>
  <si>
    <t xml:space="preserve">      Co-operative Development Fund</t>
  </si>
  <si>
    <t xml:space="preserve">      SAO-OPP</t>
  </si>
  <si>
    <t xml:space="preserve">      Scheme for Rectification of Imbalance</t>
  </si>
  <si>
    <t xml:space="preserve">      SAO-NPDP</t>
  </si>
  <si>
    <t xml:space="preserve">      Deposit Insurance Scheme - PACS</t>
  </si>
  <si>
    <t xml:space="preserve">      Instalment Loan</t>
  </si>
  <si>
    <t xml:space="preserve">      Vehicle Loan</t>
  </si>
  <si>
    <t xml:space="preserve">      Rural Farmers' Socio-Economic Development</t>
  </si>
  <si>
    <t xml:space="preserve">      Jewel Loan</t>
  </si>
  <si>
    <t xml:space="preserve">      Fund</t>
  </si>
  <si>
    <t xml:space="preserve">      Staff Advance</t>
  </si>
  <si>
    <t xml:space="preserve">      Revaluation Reserves - Land</t>
  </si>
  <si>
    <t xml:space="preserve">      Bills Discounted</t>
  </si>
  <si>
    <t xml:space="preserve">      Revaluation Reserves - Building</t>
  </si>
  <si>
    <t xml:space="preserve">      Apex Vruthipara</t>
  </si>
  <si>
    <t xml:space="preserve">      Apex Personal</t>
  </si>
  <si>
    <t xml:space="preserve">      Apex Travel</t>
  </si>
  <si>
    <t xml:space="preserve">   Fixed Deposits</t>
  </si>
  <si>
    <t xml:space="preserve">   Cash Credit A/c</t>
  </si>
  <si>
    <t xml:space="preserve">      Individuals</t>
  </si>
  <si>
    <t xml:space="preserve">      CCR I</t>
  </si>
  <si>
    <t xml:space="preserve">      Co-operative Societies</t>
  </si>
  <si>
    <t xml:space="preserve">      CCR II</t>
  </si>
  <si>
    <t xml:space="preserve">      Urban Banks</t>
  </si>
  <si>
    <t xml:space="preserve">      CCR IV</t>
  </si>
  <si>
    <t xml:space="preserve">      Central Co-operative Banks</t>
  </si>
  <si>
    <t xml:space="preserve">   Savings Bank Deposits</t>
  </si>
  <si>
    <t xml:space="preserve">      CCR IX</t>
  </si>
  <si>
    <t xml:space="preserve">      CCR X</t>
  </si>
  <si>
    <t xml:space="preserve">   Overdrafts</t>
  </si>
  <si>
    <t xml:space="preserve">   Current Deposits</t>
  </si>
  <si>
    <t xml:space="preserve">      Overdraft - Staff</t>
  </si>
  <si>
    <t xml:space="preserve">   MT Loans</t>
  </si>
  <si>
    <t xml:space="preserve">      State Co-operative Banks</t>
  </si>
  <si>
    <t xml:space="preserve">      Schematic</t>
  </si>
  <si>
    <t xml:space="preserve">   Reserve Fund Deposits</t>
  </si>
  <si>
    <t xml:space="preserve">      Non Agr</t>
  </si>
  <si>
    <t xml:space="preserve">      NFS</t>
  </si>
  <si>
    <t xml:space="preserve">      MT Advance - PODF-PACS as MSCS</t>
  </si>
  <si>
    <t xml:space="preserve">      Advance Against Deposits</t>
  </si>
  <si>
    <t xml:space="preserve">   Diamond Jubilee Jeevan Jyothi Deposits</t>
  </si>
  <si>
    <t xml:space="preserve">      Advance Against Pledge of NSC / IVP</t>
  </si>
  <si>
    <t xml:space="preserve">      Advance - Apex Pension</t>
  </si>
  <si>
    <t xml:space="preserve">      Advances - Apex Women</t>
  </si>
  <si>
    <t xml:space="preserve">      Advance - Apex Overdraft</t>
  </si>
  <si>
    <t xml:space="preserve">      Advance-Apex Rent</t>
  </si>
  <si>
    <t xml:space="preserve">   Other Deposits</t>
  </si>
  <si>
    <t xml:space="preserve">   LT Loans</t>
  </si>
  <si>
    <t xml:space="preserve">      Cumulative Deposits</t>
  </si>
  <si>
    <t xml:space="preserve">      Housing Loan - Staff</t>
  </si>
  <si>
    <t xml:space="preserve">      Staff Security Deposits</t>
  </si>
  <si>
    <t xml:space="preserve">      Housing Loan - Public</t>
  </si>
  <si>
    <t xml:space="preserve">      Pension Plan Scheme Deposits</t>
  </si>
  <si>
    <t xml:space="preserve">      Project Loan</t>
  </si>
  <si>
    <t xml:space="preserve">      Other Deposit Schemes</t>
  </si>
  <si>
    <t xml:space="preserve">      House Mortage Loan</t>
  </si>
  <si>
    <t xml:space="preserve">      Credit Balance in CCR A/cs</t>
  </si>
  <si>
    <t xml:space="preserve">      Education Loan</t>
  </si>
  <si>
    <t xml:space="preserve">      Other Dep.Schemes-Matured &amp; In-op a/c's</t>
  </si>
  <si>
    <t xml:space="preserve">      Apex BDA</t>
  </si>
  <si>
    <t xml:space="preserve">      Long Term loans-Nabard</t>
  </si>
  <si>
    <t xml:space="preserve">   NCDC III Project</t>
  </si>
  <si>
    <t xml:space="preserve">   NABARD</t>
  </si>
  <si>
    <t xml:space="preserve">      MCSM Ltd.</t>
  </si>
  <si>
    <t xml:space="preserve">      Long Term</t>
  </si>
  <si>
    <t xml:space="preserve">      MCOM Ltd.</t>
  </si>
  <si>
    <t xml:space="preserve">      ST-SAO-OC</t>
  </si>
  <si>
    <t xml:space="preserve">      SVCTM Ltd.</t>
  </si>
  <si>
    <t xml:space="preserve">      ST-SAO-OPP</t>
  </si>
  <si>
    <t xml:space="preserve">      RSNG Ltd.</t>
  </si>
  <si>
    <t xml:space="preserve">      ST-SAO-NPDP</t>
  </si>
  <si>
    <t xml:space="preserve">      MT-Schematic</t>
  </si>
  <si>
    <t>Bills Receivable (Contra)</t>
  </si>
  <si>
    <t xml:space="preserve">      MT-NFS</t>
  </si>
  <si>
    <t xml:space="preserve">   OBC</t>
  </si>
  <si>
    <t xml:space="preserve">      MT-Borrowings-PODF-PACS as MSCS</t>
  </si>
  <si>
    <t>Interest Receivable (Contra)</t>
  </si>
  <si>
    <t xml:space="preserve">   Central Co-operative Banks</t>
  </si>
  <si>
    <t>Branch Adjustments</t>
  </si>
  <si>
    <t xml:space="preserve">      CCR X (Food Credit)</t>
  </si>
  <si>
    <t>Bills Sent for Collection (Contra)</t>
  </si>
  <si>
    <t xml:space="preserve">   Premises</t>
  </si>
  <si>
    <t xml:space="preserve">   Furniture &amp; Fixtures</t>
  </si>
  <si>
    <t xml:space="preserve">   Computers</t>
  </si>
  <si>
    <t>Interest Reserve (Contra)</t>
  </si>
  <si>
    <t xml:space="preserve">   Vehicles</t>
  </si>
  <si>
    <t xml:space="preserve">   Clearing Diff Receivable</t>
  </si>
  <si>
    <t xml:space="preserve">   Advance Income Tax</t>
  </si>
  <si>
    <t xml:space="preserve">   Contingent Provision Against Standard Assets</t>
  </si>
  <si>
    <t xml:space="preserve">   Regional PF Commissioner</t>
  </si>
  <si>
    <t>Bills Discounted</t>
  </si>
  <si>
    <t>b) KSUBF</t>
  </si>
  <si>
    <t xml:space="preserve">c) State &amp; National Co-op Inst. </t>
  </si>
  <si>
    <t>d) Other than Co-op. Inst.</t>
  </si>
  <si>
    <t>b) State Government</t>
  </si>
  <si>
    <t>The Karnataka State Cooperative Apex Bank Ltd.,</t>
  </si>
  <si>
    <t>Type</t>
  </si>
  <si>
    <t>Share Movements</t>
  </si>
  <si>
    <t>Refund</t>
  </si>
  <si>
    <t>Additions</t>
  </si>
  <si>
    <t>31.03.2017</t>
  </si>
  <si>
    <t>Members</t>
  </si>
  <si>
    <t>Shares</t>
  </si>
  <si>
    <t>A</t>
  </si>
  <si>
    <t>DCC Banks</t>
  </si>
  <si>
    <t>B</t>
  </si>
  <si>
    <t>State Government</t>
  </si>
  <si>
    <t>C</t>
  </si>
  <si>
    <t>Associate Members</t>
  </si>
  <si>
    <t xml:space="preserve">   Loss on Sale of GOI Securities</t>
  </si>
  <si>
    <t>Overdue Interest Reserve (As per contra)</t>
  </si>
  <si>
    <t xml:space="preserve">   Balance with State Co-operative Banks</t>
  </si>
  <si>
    <t xml:space="preserve">   Central Co-operative Banks CCR X (Food Credit)</t>
  </si>
  <si>
    <t>Schedules forming part of financial statements as at 31.03.2018</t>
  </si>
  <si>
    <t>As at 
March  31, 2017</t>
  </si>
  <si>
    <t>As at 
March  31, 2018</t>
  </si>
  <si>
    <t xml:space="preserve">  Year ended 
March  31, 2018</t>
  </si>
  <si>
    <t>Profit and Loss Account for the period ended 31st March, 2018</t>
  </si>
  <si>
    <t xml:space="preserve">   Non Performing Asset</t>
  </si>
  <si>
    <t xml:space="preserve">   Special Reserve</t>
  </si>
  <si>
    <t xml:space="preserve">   Pension Scheme Fund   </t>
  </si>
  <si>
    <t>Year ended                   
March 31, 2017</t>
  </si>
  <si>
    <t>Year ended                   
March 31, 2018</t>
  </si>
  <si>
    <t>c) Pension Scheme Fund</t>
  </si>
  <si>
    <t>For Ramraj &amp; Co.,</t>
  </si>
  <si>
    <t>Firm Registration No -002839S</t>
  </si>
  <si>
    <t>PROFIT AND LOSS STATEMENT FOR THE YEAR ENDED 31ST MARCH 2018</t>
  </si>
  <si>
    <t>Per our Report of Even Date</t>
  </si>
  <si>
    <t>Balance Sheet as on 31.03.2018</t>
  </si>
  <si>
    <t xml:space="preserve">   State Co-Operative Banks</t>
  </si>
  <si>
    <t xml:space="preserve">   Indusind Bank</t>
  </si>
  <si>
    <t xml:space="preserve">      CCR V</t>
  </si>
  <si>
    <t xml:space="preserve">      CCR VI</t>
  </si>
  <si>
    <t xml:space="preserve">   GST</t>
  </si>
  <si>
    <t xml:space="preserve">  Interest Receivable from GoK</t>
  </si>
  <si>
    <t xml:space="preserve">      Pension Scheme Fund</t>
  </si>
  <si>
    <t xml:space="preserve">   2017-18</t>
  </si>
  <si>
    <t>31.03.2018</t>
  </si>
  <si>
    <t>Share Capital Movements during the year 2017-18</t>
  </si>
  <si>
    <t>(4,451 Shares)</t>
  </si>
  <si>
    <t>a) DCC Banks(3,848 Shares)</t>
  </si>
  <si>
    <t>c) Associated / Nominal Members (603 Shares)</t>
  </si>
  <si>
    <t xml:space="preserve">   Pension Scheme Fund</t>
  </si>
  <si>
    <t>Firm Registration No - 002839S</t>
  </si>
  <si>
    <t>Place : Bengaluru</t>
  </si>
  <si>
    <t>BALANCE SHEET AS AT 31ST MARCH 2018</t>
  </si>
  <si>
    <t xml:space="preserve">  As at 
March  31, 2017</t>
  </si>
  <si>
    <t xml:space="preserve">  As at 
March  31, 2018</t>
  </si>
  <si>
    <t xml:space="preserve">   State Co Operative Banks</t>
  </si>
  <si>
    <t xml:space="preserve">   Indus Ind Bank</t>
  </si>
  <si>
    <t xml:space="preserve">   Interest Receivable from GoK</t>
  </si>
  <si>
    <t>nanda</t>
  </si>
  <si>
    <t>CA P. KARUNAKARA NAIDU</t>
  </si>
  <si>
    <t>M No. 210603</t>
  </si>
  <si>
    <t xml:space="preserve">   Excess Contingency Reserve</t>
  </si>
  <si>
    <t xml:space="preserve">   Provision other assets withdrawn</t>
  </si>
  <si>
    <t>Capital Reserve</t>
  </si>
  <si>
    <t>ACSTI a/c</t>
  </si>
  <si>
    <t>ACSTI A/c</t>
  </si>
  <si>
    <t>CA P.KARUNAKARA NAIDU</t>
  </si>
  <si>
    <t>Less : Amortisation of Revaluation Reserve</t>
  </si>
  <si>
    <t>Contingent Liabilities</t>
  </si>
  <si>
    <t>Amount in Rs.</t>
  </si>
  <si>
    <t>Directors Fee, Local Committee Members fee, Allowances and Study Tour</t>
  </si>
  <si>
    <t>Guaranteed issued &amp; Fully Secured    : Rs. 14 15 24 143.00</t>
  </si>
  <si>
    <t xml:space="preserve">   CCR V</t>
  </si>
  <si>
    <t xml:space="preserve">   CCR VI</t>
  </si>
  <si>
    <t>f) Non Performing Asset</t>
  </si>
  <si>
    <t>g) Contingent Reserves for Standard Assets</t>
  </si>
  <si>
    <t>h) Investment Fluctuation Reserve</t>
  </si>
  <si>
    <t>i) Capital Reserve</t>
  </si>
  <si>
    <t>Date : 19.07.2018</t>
  </si>
</sst>
</file>

<file path=xl/styles.xml><?xml version="1.0" encoding="utf-8"?>
<styleSheet xmlns="http://schemas.openxmlformats.org/spreadsheetml/2006/main">
  <numFmts count="10">
    <numFmt numFmtId="43" formatCode="_(* #,##0.00_);_(* \(#,##0.00\);_(* &quot;-&quot;??_);_(@_)"/>
    <numFmt numFmtId="164" formatCode="#,##0_ ;\-#,##0\ "/>
    <numFmt numFmtId="165" formatCode="_(* #,##0_);_(* \(#,##0\);_(* &quot;-&quot;??_);_(@_)"/>
    <numFmt numFmtId="166" formatCode="#,##0.0;\-#,##0.0"/>
    <numFmt numFmtId="167" formatCode="##,###,###,##0.00"/>
    <numFmt numFmtId="168" formatCode="_ * #,##0_ ;_ * \-#,##0_ ;_ * &quot;-&quot;??_ ;_ @_ "/>
    <numFmt numFmtId="169" formatCode="0000\ 00\ 00\ 000"/>
    <numFmt numFmtId="170" formatCode="0\ 00\ 00\ 000"/>
    <numFmt numFmtId="171" formatCode="0\ 00\ 000"/>
    <numFmt numFmtId="172" formatCode="00\ 000"/>
  </numFmts>
  <fonts count="29">
    <font>
      <sz val="10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i/>
      <sz val="14"/>
      <color theme="1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6"/>
      <color theme="1"/>
      <name val="Arial"/>
      <family val="2"/>
    </font>
    <font>
      <sz val="16"/>
      <color rgb="FFFF0000"/>
      <name val="Arial"/>
      <family val="2"/>
    </font>
    <font>
      <b/>
      <i/>
      <sz val="16"/>
      <color theme="1"/>
      <name val="Arial"/>
      <family val="2"/>
    </font>
    <font>
      <i/>
      <sz val="16"/>
      <color theme="1"/>
      <name val="Arial"/>
      <family val="2"/>
    </font>
    <font>
      <b/>
      <sz val="26"/>
      <color theme="1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6"/>
      <color theme="1"/>
      <name val="Arial"/>
      <family val="2"/>
    </font>
    <font>
      <u/>
      <sz val="26"/>
      <color theme="1"/>
      <name val="Arial"/>
      <family val="2"/>
    </font>
    <font>
      <u/>
      <sz val="26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Verdana"/>
      <family val="2"/>
    </font>
    <font>
      <sz val="9"/>
      <color rgb="FF000000"/>
      <name val="Verdana"/>
      <family val="2"/>
    </font>
    <font>
      <u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39" fontId="0" fillId="0" borderId="0"/>
    <xf numFmtId="43" fontId="2" fillId="0" borderId="0" applyFont="0" applyFill="0" applyBorder="0" applyAlignment="0" applyProtection="0"/>
    <xf numFmtId="0" fontId="3" fillId="0" borderId="0"/>
    <xf numFmtId="0" fontId="1" fillId="0" borderId="0"/>
  </cellStyleXfs>
  <cellXfs count="319">
    <xf numFmtId="39" fontId="0" fillId="0" borderId="0" xfId="0"/>
    <xf numFmtId="39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39" fontId="5" fillId="0" borderId="0" xfId="0" applyFont="1" applyBorder="1" applyAlignment="1">
      <alignment horizontal="left" vertical="top"/>
    </xf>
    <xf numFmtId="39" fontId="5" fillId="0" borderId="0" xfId="0" quotePrefix="1" applyFont="1" applyBorder="1" applyAlignment="1">
      <alignment horizontal="center"/>
    </xf>
    <xf numFmtId="39" fontId="7" fillId="0" borderId="0" xfId="0" applyFont="1" applyBorder="1" applyAlignment="1">
      <alignment horizontal="center" vertical="top"/>
    </xf>
    <xf numFmtId="39" fontId="4" fillId="0" borderId="0" xfId="0" applyFont="1" applyBorder="1" applyAlignment="1">
      <alignment horizontal="center" vertical="top"/>
    </xf>
    <xf numFmtId="39" fontId="5" fillId="0" borderId="0" xfId="0" applyFont="1" applyBorder="1" applyAlignment="1">
      <alignment horizontal="center" vertical="top"/>
    </xf>
    <xf numFmtId="165" fontId="4" fillId="0" borderId="0" xfId="1" applyNumberFormat="1" applyFont="1" applyBorder="1"/>
    <xf numFmtId="165" fontId="5" fillId="0" borderId="0" xfId="1" applyNumberFormat="1" applyFont="1" applyBorder="1"/>
    <xf numFmtId="165" fontId="5" fillId="0" borderId="0" xfId="1" applyNumberFormat="1" applyFont="1" applyBorder="1" applyAlignment="1"/>
    <xf numFmtId="165" fontId="5" fillId="0" borderId="0" xfId="1" applyNumberFormat="1" applyFont="1" applyBorder="1" applyAlignment="1">
      <alignment horizontal="left" vertical="top"/>
    </xf>
    <xf numFmtId="39" fontId="5" fillId="0" borderId="0" xfId="0" applyFont="1" applyBorder="1" applyAlignment="1">
      <alignment horizontal="left"/>
    </xf>
    <xf numFmtId="39" fontId="9" fillId="0" borderId="0" xfId="0" applyFont="1"/>
    <xf numFmtId="39" fontId="10" fillId="0" borderId="0" xfId="0" applyFont="1"/>
    <xf numFmtId="165" fontId="10" fillId="0" borderId="0" xfId="1" applyNumberFormat="1" applyFont="1"/>
    <xf numFmtId="39" fontId="8" fillId="3" borderId="1" xfId="0" applyFont="1" applyFill="1" applyBorder="1" applyAlignment="1">
      <alignment horizontal="center" vertical="center"/>
    </xf>
    <xf numFmtId="39" fontId="8" fillId="3" borderId="1" xfId="0" applyFont="1" applyFill="1" applyBorder="1" applyAlignment="1">
      <alignment horizontal="center" vertical="center" wrapText="1"/>
    </xf>
    <xf numFmtId="165" fontId="8" fillId="3" borderId="1" xfId="1" quotePrefix="1" applyNumberFormat="1" applyFont="1" applyFill="1" applyBorder="1" applyAlignment="1">
      <alignment horizontal="center" vertical="justify" wrapText="1"/>
    </xf>
    <xf numFmtId="39" fontId="8" fillId="0" borderId="8" xfId="0" applyFont="1" applyBorder="1"/>
    <xf numFmtId="39" fontId="10" fillId="0" borderId="0" xfId="0" applyFont="1" applyAlignment="1">
      <alignment horizontal="center"/>
    </xf>
    <xf numFmtId="165" fontId="10" fillId="0" borderId="8" xfId="1" applyNumberFormat="1" applyFont="1" applyBorder="1"/>
    <xf numFmtId="39" fontId="10" fillId="0" borderId="3" xfId="0" applyFont="1" applyBorder="1"/>
    <xf numFmtId="165" fontId="10" fillId="0" borderId="3" xfId="1" applyNumberFormat="1" applyFont="1" applyBorder="1"/>
    <xf numFmtId="165" fontId="10" fillId="0" borderId="9" xfId="1" applyNumberFormat="1" applyFont="1" applyBorder="1"/>
    <xf numFmtId="39" fontId="10" fillId="0" borderId="5" xfId="0" applyFont="1" applyBorder="1"/>
    <xf numFmtId="165" fontId="10" fillId="0" borderId="5" xfId="1" applyNumberFormat="1" applyFont="1" applyBorder="1"/>
    <xf numFmtId="39" fontId="8" fillId="0" borderId="1" xfId="0" applyFont="1" applyBorder="1" applyAlignment="1">
      <alignment horizontal="center" vertical="center"/>
    </xf>
    <xf numFmtId="37" fontId="10" fillId="0" borderId="1" xfId="0" applyNumberFormat="1" applyFont="1" applyBorder="1" applyAlignment="1">
      <alignment horizontal="center"/>
    </xf>
    <xf numFmtId="37" fontId="10" fillId="0" borderId="8" xfId="0" applyNumberFormat="1" applyFont="1" applyBorder="1" applyAlignment="1">
      <alignment horizontal="center"/>
    </xf>
    <xf numFmtId="37" fontId="10" fillId="0" borderId="3" xfId="0" applyNumberFormat="1" applyFont="1" applyBorder="1" applyAlignment="1">
      <alignment horizontal="center"/>
    </xf>
    <xf numFmtId="39" fontId="8" fillId="0" borderId="3" xfId="0" applyFont="1" applyBorder="1"/>
    <xf numFmtId="39" fontId="10" fillId="0" borderId="3" xfId="0" applyFont="1" applyBorder="1" applyAlignment="1">
      <alignment horizontal="center"/>
    </xf>
    <xf numFmtId="39" fontId="8" fillId="0" borderId="3" xfId="0" applyFont="1" applyFill="1" applyBorder="1" applyAlignment="1">
      <alignment horizontal="center"/>
    </xf>
    <xf numFmtId="39" fontId="10" fillId="0" borderId="3" xfId="0" applyFont="1" applyFill="1" applyBorder="1" applyAlignment="1">
      <alignment horizontal="center"/>
    </xf>
    <xf numFmtId="39" fontId="10" fillId="0" borderId="5" xfId="0" applyFont="1" applyFill="1" applyBorder="1"/>
    <xf numFmtId="165" fontId="10" fillId="0" borderId="5" xfId="1" applyNumberFormat="1" applyFont="1" applyFill="1" applyBorder="1"/>
    <xf numFmtId="39" fontId="8" fillId="0" borderId="1" xfId="0" applyFont="1" applyFill="1" applyBorder="1" applyAlignment="1">
      <alignment horizontal="center"/>
    </xf>
    <xf numFmtId="39" fontId="10" fillId="0" borderId="2" xfId="0" applyFont="1" applyFill="1" applyBorder="1" applyAlignment="1">
      <alignment horizontal="center"/>
    </xf>
    <xf numFmtId="39" fontId="10" fillId="0" borderId="8" xfId="0" applyFont="1" applyBorder="1" applyAlignment="1">
      <alignment horizontal="center"/>
    </xf>
    <xf numFmtId="39" fontId="8" fillId="0" borderId="3" xfId="0" applyFont="1" applyBorder="1" applyAlignment="1">
      <alignment horizontal="center"/>
    </xf>
    <xf numFmtId="165" fontId="10" fillId="0" borderId="0" xfId="1" applyNumberFormat="1" applyFont="1" applyBorder="1"/>
    <xf numFmtId="39" fontId="8" fillId="0" borderId="1" xfId="0" applyFont="1" applyBorder="1" applyAlignment="1">
      <alignment vertical="center"/>
    </xf>
    <xf numFmtId="39" fontId="10" fillId="0" borderId="1" xfId="0" applyFont="1" applyBorder="1" applyAlignment="1">
      <alignment horizontal="center"/>
    </xf>
    <xf numFmtId="39" fontId="11" fillId="0" borderId="0" xfId="0" applyFont="1"/>
    <xf numFmtId="39" fontId="10" fillId="0" borderId="0" xfId="0" applyFont="1" applyBorder="1" applyAlignment="1">
      <alignment horizontal="center"/>
    </xf>
    <xf numFmtId="39" fontId="8" fillId="0" borderId="0" xfId="0" applyFont="1" applyBorder="1" applyAlignment="1">
      <alignment horizontal="left" vertical="top"/>
    </xf>
    <xf numFmtId="165" fontId="10" fillId="0" borderId="0" xfId="1" applyNumberFormat="1" applyFont="1" applyBorder="1" applyAlignment="1">
      <alignment horizontal="left" vertical="top"/>
    </xf>
    <xf numFmtId="39" fontId="10" fillId="0" borderId="0" xfId="0" applyFont="1" applyBorder="1" applyAlignment="1">
      <alignment horizontal="center" vertical="top"/>
    </xf>
    <xf numFmtId="165" fontId="9" fillId="0" borderId="0" xfId="1" applyNumberFormat="1" applyFont="1"/>
    <xf numFmtId="39" fontId="15" fillId="0" borderId="0" xfId="0" applyFont="1"/>
    <xf numFmtId="39" fontId="15" fillId="0" borderId="0" xfId="0" applyFont="1" applyAlignment="1">
      <alignment vertical="center"/>
    </xf>
    <xf numFmtId="165" fontId="17" fillId="0" borderId="9" xfId="1" applyNumberFormat="1" applyFont="1" applyBorder="1"/>
    <xf numFmtId="165" fontId="17" fillId="0" borderId="9" xfId="1" applyNumberFormat="1" applyFont="1" applyBorder="1" applyAlignment="1">
      <alignment horizontal="right"/>
    </xf>
    <xf numFmtId="165" fontId="15" fillId="0" borderId="9" xfId="1" applyNumberFormat="1" applyFont="1" applyBorder="1"/>
    <xf numFmtId="165" fontId="15" fillId="0" borderId="10" xfId="1" applyNumberFormat="1" applyFont="1" applyBorder="1"/>
    <xf numFmtId="165" fontId="15" fillId="0" borderId="7" xfId="1" applyNumberFormat="1" applyFont="1" applyBorder="1"/>
    <xf numFmtId="165" fontId="15" fillId="0" borderId="9" xfId="1" applyNumberFormat="1" applyFont="1" applyFill="1" applyBorder="1"/>
    <xf numFmtId="39" fontId="15" fillId="0" borderId="0" xfId="0" applyFont="1" applyFill="1"/>
    <xf numFmtId="165" fontId="15" fillId="0" borderId="0" xfId="1" applyNumberFormat="1" applyFont="1"/>
    <xf numFmtId="39" fontId="17" fillId="0" borderId="3" xfId="0" applyFont="1" applyBorder="1"/>
    <xf numFmtId="39" fontId="14" fillId="0" borderId="3" xfId="0" applyFont="1" applyBorder="1"/>
    <xf numFmtId="39" fontId="18" fillId="0" borderId="3" xfId="0" applyFont="1" applyBorder="1"/>
    <xf numFmtId="39" fontId="19" fillId="0" borderId="3" xfId="0" applyFont="1" applyBorder="1"/>
    <xf numFmtId="39" fontId="15" fillId="0" borderId="3" xfId="0" applyFont="1" applyBorder="1"/>
    <xf numFmtId="39" fontId="16" fillId="0" borderId="3" xfId="0" applyFont="1" applyBorder="1"/>
    <xf numFmtId="39" fontId="15" fillId="0" borderId="5" xfId="0" applyFont="1" applyBorder="1"/>
    <xf numFmtId="39" fontId="14" fillId="0" borderId="8" xfId="0" applyFont="1" applyBorder="1"/>
    <xf numFmtId="39" fontId="15" fillId="0" borderId="3" xfId="0" applyFont="1" applyFill="1" applyBorder="1"/>
    <xf numFmtId="39" fontId="16" fillId="0" borderId="8" xfId="0" applyFont="1" applyBorder="1"/>
    <xf numFmtId="39" fontId="19" fillId="0" borderId="8" xfId="0" applyFont="1" applyBorder="1"/>
    <xf numFmtId="165" fontId="15" fillId="0" borderId="0" xfId="0" applyNumberFormat="1" applyFont="1"/>
    <xf numFmtId="39" fontId="14" fillId="2" borderId="1" xfId="0" applyFont="1" applyFill="1" applyBorder="1"/>
    <xf numFmtId="39" fontId="14" fillId="0" borderId="3" xfId="0" applyFont="1" applyBorder="1" applyAlignment="1">
      <alignment wrapText="1"/>
    </xf>
    <xf numFmtId="39" fontId="8" fillId="0" borderId="11" xfId="0" quotePrefix="1" applyFont="1" applyBorder="1" applyAlignment="1">
      <alignment horizontal="left" vertical="center"/>
    </xf>
    <xf numFmtId="39" fontId="8" fillId="0" borderId="1" xfId="0" applyFont="1" applyBorder="1" applyAlignment="1">
      <alignment horizontal="center" vertical="center" wrapText="1"/>
    </xf>
    <xf numFmtId="165" fontId="8" fillId="0" borderId="1" xfId="1" applyNumberFormat="1" applyFont="1" applyBorder="1" applyAlignment="1">
      <alignment horizontal="center" vertical="center" wrapText="1"/>
    </xf>
    <xf numFmtId="39" fontId="8" fillId="0" borderId="4" xfId="0" applyFont="1" applyBorder="1"/>
    <xf numFmtId="39" fontId="10" fillId="0" borderId="4" xfId="0" applyFont="1" applyBorder="1"/>
    <xf numFmtId="39" fontId="10" fillId="0" borderId="5" xfId="0" applyFont="1" applyBorder="1" applyAlignment="1">
      <alignment horizontal="center"/>
    </xf>
    <xf numFmtId="39" fontId="10" fillId="0" borderId="8" xfId="0" applyFont="1" applyBorder="1"/>
    <xf numFmtId="39" fontId="10" fillId="0" borderId="10" xfId="0" applyFont="1" applyBorder="1" applyAlignment="1">
      <alignment horizontal="center"/>
    </xf>
    <xf numFmtId="39" fontId="13" fillId="0" borderId="0" xfId="0" quotePrefix="1" applyFont="1" applyBorder="1" applyAlignment="1">
      <alignment horizontal="center" vertical="top"/>
    </xf>
    <xf numFmtId="165" fontId="13" fillId="0" borderId="0" xfId="1" applyNumberFormat="1" applyFont="1" applyBorder="1" applyAlignment="1">
      <alignment horizontal="left" vertical="top"/>
    </xf>
    <xf numFmtId="39" fontId="8" fillId="0" borderId="0" xfId="0" quotePrefix="1" applyFont="1" applyBorder="1" applyAlignment="1">
      <alignment horizontal="left" vertical="top"/>
    </xf>
    <xf numFmtId="39" fontId="12" fillId="0" borderId="0" xfId="0" applyFont="1" applyBorder="1" applyAlignment="1">
      <alignment horizontal="center" vertical="center"/>
    </xf>
    <xf numFmtId="39" fontId="8" fillId="0" borderId="4" xfId="0" applyFont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justify" wrapText="1"/>
    </xf>
    <xf numFmtId="39" fontId="14" fillId="2" borderId="1" xfId="0" applyFont="1" applyFill="1" applyBorder="1" applyAlignment="1">
      <alignment vertical="center"/>
    </xf>
    <xf numFmtId="39" fontId="15" fillId="0" borderId="3" xfId="0" applyFont="1" applyBorder="1" applyAlignment="1">
      <alignment horizontal="left" indent="1"/>
    </xf>
    <xf numFmtId="166" fontId="15" fillId="0" borderId="3" xfId="0" applyNumberFormat="1" applyFont="1" applyBorder="1" applyAlignment="1">
      <alignment horizontal="left" indent="1"/>
    </xf>
    <xf numFmtId="39" fontId="15" fillId="0" borderId="4" xfId="0" applyFont="1" applyBorder="1" applyAlignment="1">
      <alignment horizontal="left" indent="1"/>
    </xf>
    <xf numFmtId="167" fontId="20" fillId="0" borderId="3" xfId="0" applyNumberFormat="1" applyFont="1" applyBorder="1" applyAlignment="1">
      <alignment horizontal="right" vertical="center"/>
    </xf>
    <xf numFmtId="39" fontId="17" fillId="0" borderId="3" xfId="0" applyFont="1" applyBorder="1" applyAlignment="1">
      <alignment horizontal="left" indent="1"/>
    </xf>
    <xf numFmtId="39" fontId="9" fillId="0" borderId="3" xfId="0" applyFont="1" applyBorder="1"/>
    <xf numFmtId="39" fontId="10" fillId="0" borderId="5" xfId="0" applyFont="1" applyFill="1" applyBorder="1" applyAlignment="1">
      <alignment horizontal="center"/>
    </xf>
    <xf numFmtId="39" fontId="20" fillId="0" borderId="0" xfId="0" applyFont="1" applyAlignment="1">
      <alignment vertical="center"/>
    </xf>
    <xf numFmtId="39" fontId="20" fillId="0" borderId="1" xfId="0" applyFont="1" applyBorder="1" applyAlignment="1">
      <alignment horizontal="center" vertical="center"/>
    </xf>
    <xf numFmtId="39" fontId="20" fillId="0" borderId="0" xfId="0" applyFont="1" applyAlignment="1">
      <alignment horizontal="center" vertical="center"/>
    </xf>
    <xf numFmtId="39" fontId="20" fillId="0" borderId="3" xfId="0" applyFont="1" applyBorder="1" applyAlignment="1">
      <alignment horizontal="center" vertical="center"/>
    </xf>
    <xf numFmtId="39" fontId="21" fillId="0" borderId="3" xfId="0" applyFont="1" applyBorder="1" applyAlignment="1">
      <alignment vertical="center"/>
    </xf>
    <xf numFmtId="39" fontId="20" fillId="0" borderId="3" xfId="0" applyFont="1" applyBorder="1" applyAlignment="1">
      <alignment vertical="center"/>
    </xf>
    <xf numFmtId="4" fontId="20" fillId="0" borderId="3" xfId="0" applyNumberFormat="1" applyFont="1" applyBorder="1" applyAlignment="1">
      <alignment horizontal="right" vertical="center"/>
    </xf>
    <xf numFmtId="167" fontId="20" fillId="0" borderId="1" xfId="0" applyNumberFormat="1" applyFont="1" applyBorder="1" applyAlignment="1">
      <alignment horizontal="right" vertical="center"/>
    </xf>
    <xf numFmtId="167" fontId="20" fillId="0" borderId="0" xfId="0" applyNumberFormat="1" applyFont="1" applyAlignment="1">
      <alignment horizontal="right" vertical="center"/>
    </xf>
    <xf numFmtId="165" fontId="10" fillId="0" borderId="3" xfId="1" applyNumberFormat="1" applyFont="1" applyFill="1" applyBorder="1" applyAlignment="1">
      <alignment horizontal="center"/>
    </xf>
    <xf numFmtId="4" fontId="20" fillId="0" borderId="1" xfId="0" applyNumberFormat="1" applyFont="1" applyBorder="1" applyAlignment="1">
      <alignment horizontal="right" vertical="center"/>
    </xf>
    <xf numFmtId="165" fontId="8" fillId="0" borderId="1" xfId="1" applyNumberFormat="1" applyFont="1" applyBorder="1" applyAlignment="1">
      <alignment horizontal="center"/>
    </xf>
    <xf numFmtId="39" fontId="20" fillId="0" borderId="0" xfId="0" applyFont="1" applyAlignment="1">
      <alignment horizontal="center" vertical="center"/>
    </xf>
    <xf numFmtId="165" fontId="10" fillId="0" borderId="3" xfId="1" applyNumberFormat="1" applyFont="1" applyBorder="1" applyAlignment="1">
      <alignment horizontal="center"/>
    </xf>
    <xf numFmtId="165" fontId="10" fillId="0" borderId="0" xfId="1" applyNumberFormat="1" applyFont="1" applyBorder="1" applyAlignment="1">
      <alignment horizontal="center"/>
    </xf>
    <xf numFmtId="37" fontId="20" fillId="0" borderId="3" xfId="0" applyNumberFormat="1" applyFont="1" applyBorder="1" applyAlignment="1">
      <alignment horizontal="center" vertical="center"/>
    </xf>
    <xf numFmtId="4" fontId="20" fillId="0" borderId="3" xfId="0" applyNumberFormat="1" applyFont="1" applyFill="1" applyBorder="1" applyAlignment="1">
      <alignment horizontal="right" vertical="center"/>
    </xf>
    <xf numFmtId="0" fontId="22" fillId="0" borderId="0" xfId="3" applyFont="1" applyAlignment="1">
      <alignment vertical="center"/>
    </xf>
    <xf numFmtId="167" fontId="22" fillId="0" borderId="0" xfId="3" applyNumberFormat="1" applyFont="1" applyAlignment="1">
      <alignment horizontal="right" vertical="center"/>
    </xf>
    <xf numFmtId="0" fontId="22" fillId="0" borderId="0" xfId="3" applyFont="1" applyAlignment="1">
      <alignment horizontal="center" vertical="center"/>
    </xf>
    <xf numFmtId="0" fontId="23" fillId="0" borderId="1" xfId="3" applyFont="1" applyFill="1" applyBorder="1" applyAlignment="1">
      <alignment horizontal="center" vertical="center"/>
    </xf>
    <xf numFmtId="167" fontId="23" fillId="0" borderId="1" xfId="3" applyNumberFormat="1" applyFont="1" applyFill="1" applyBorder="1" applyAlignment="1">
      <alignment horizontal="center" vertical="center"/>
    </xf>
    <xf numFmtId="0" fontId="23" fillId="0" borderId="3" xfId="3" applyFont="1" applyFill="1" applyBorder="1" applyAlignment="1">
      <alignment vertical="center"/>
    </xf>
    <xf numFmtId="167" fontId="22" fillId="0" borderId="3" xfId="3" applyNumberFormat="1" applyFont="1" applyFill="1" applyBorder="1" applyAlignment="1">
      <alignment horizontal="right" vertical="center"/>
    </xf>
    <xf numFmtId="0" fontId="22" fillId="0" borderId="3" xfId="3" applyFont="1" applyFill="1" applyBorder="1" applyAlignment="1">
      <alignment horizontal="center" vertical="center"/>
    </xf>
    <xf numFmtId="0" fontId="22" fillId="0" borderId="3" xfId="3" applyFont="1" applyFill="1" applyBorder="1" applyAlignment="1">
      <alignment vertical="center"/>
    </xf>
    <xf numFmtId="4" fontId="22" fillId="0" borderId="3" xfId="3" applyNumberFormat="1" applyFont="1" applyFill="1" applyBorder="1" applyAlignment="1">
      <alignment horizontal="right" vertical="center"/>
    </xf>
    <xf numFmtId="0" fontId="22" fillId="0" borderId="3" xfId="3" applyFont="1" applyBorder="1" applyAlignment="1">
      <alignment vertical="center"/>
    </xf>
    <xf numFmtId="167" fontId="22" fillId="0" borderId="3" xfId="3" applyNumberFormat="1" applyFont="1" applyBorder="1" applyAlignment="1">
      <alignment horizontal="right" vertical="center"/>
    </xf>
    <xf numFmtId="0" fontId="22" fillId="0" borderId="3" xfId="3" applyFont="1" applyBorder="1" applyAlignment="1">
      <alignment horizontal="center" vertical="center"/>
    </xf>
    <xf numFmtId="0" fontId="23" fillId="0" borderId="3" xfId="3" applyFont="1" applyBorder="1" applyAlignment="1">
      <alignment vertical="center"/>
    </xf>
    <xf numFmtId="4" fontId="22" fillId="0" borderId="3" xfId="3" applyNumberFormat="1" applyFont="1" applyBorder="1" applyAlignment="1">
      <alignment horizontal="right" vertical="center"/>
    </xf>
    <xf numFmtId="0" fontId="22" fillId="0" borderId="1" xfId="3" applyFont="1" applyBorder="1" applyAlignment="1">
      <alignment horizontal="center" vertical="center"/>
    </xf>
    <xf numFmtId="167" fontId="22" fillId="0" borderId="1" xfId="3" applyNumberFormat="1" applyFont="1" applyBorder="1" applyAlignment="1">
      <alignment horizontal="right" vertical="center"/>
    </xf>
    <xf numFmtId="4" fontId="22" fillId="0" borderId="1" xfId="3" applyNumberFormat="1" applyFont="1" applyBorder="1" applyAlignment="1">
      <alignment horizontal="right" vertical="center"/>
    </xf>
    <xf numFmtId="39" fontId="22" fillId="0" borderId="0" xfId="0" applyFont="1" applyAlignment="1">
      <alignment vertical="center"/>
    </xf>
    <xf numFmtId="39" fontId="22" fillId="0" borderId="0" xfId="0" applyFont="1" applyAlignment="1">
      <alignment horizontal="center" vertical="center"/>
    </xf>
    <xf numFmtId="39" fontId="23" fillId="0" borderId="1" xfId="0" applyFont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39" fontId="23" fillId="0" borderId="3" xfId="0" applyFont="1" applyBorder="1" applyAlignment="1">
      <alignment vertical="center"/>
    </xf>
    <xf numFmtId="167" fontId="22" fillId="0" borderId="3" xfId="0" applyNumberFormat="1" applyFont="1" applyBorder="1" applyAlignment="1">
      <alignment horizontal="right" vertical="center"/>
    </xf>
    <xf numFmtId="39" fontId="22" fillId="0" borderId="3" xfId="0" applyFont="1" applyBorder="1" applyAlignment="1">
      <alignment horizontal="center" vertical="center"/>
    </xf>
    <xf numFmtId="39" fontId="22" fillId="0" borderId="3" xfId="0" applyFont="1" applyBorder="1" applyAlignment="1">
      <alignment vertical="center"/>
    </xf>
    <xf numFmtId="4" fontId="22" fillId="0" borderId="3" xfId="0" applyNumberFormat="1" applyFont="1" applyBorder="1" applyAlignment="1">
      <alignment horizontal="right" vertical="center"/>
    </xf>
    <xf numFmtId="4" fontId="22" fillId="0" borderId="3" xfId="0" applyNumberFormat="1" applyFont="1" applyFill="1" applyBorder="1" applyAlignment="1">
      <alignment horizontal="right" vertical="center"/>
    </xf>
    <xf numFmtId="37" fontId="10" fillId="0" borderId="5" xfId="0" applyNumberFormat="1" applyFont="1" applyBorder="1" applyAlignment="1">
      <alignment horizontal="center"/>
    </xf>
    <xf numFmtId="165" fontId="14" fillId="2" borderId="6" xfId="1" applyNumberFormat="1" applyFont="1" applyFill="1" applyBorder="1" applyAlignment="1">
      <alignment horizontal="center" vertical="center" wrapText="1"/>
    </xf>
    <xf numFmtId="165" fontId="15" fillId="0" borderId="10" xfId="1" applyNumberFormat="1" applyFont="1" applyFill="1" applyBorder="1"/>
    <xf numFmtId="39" fontId="2" fillId="0" borderId="0" xfId="0" applyFont="1"/>
    <xf numFmtId="39" fontId="5" fillId="0" borderId="8" xfId="0" applyFont="1" applyBorder="1" applyAlignment="1">
      <alignment horizontal="center" vertical="center"/>
    </xf>
    <xf numFmtId="39" fontId="5" fillId="0" borderId="5" xfId="0" applyFont="1" applyBorder="1" applyAlignment="1">
      <alignment horizontal="center" vertical="center"/>
    </xf>
    <xf numFmtId="39" fontId="5" fillId="0" borderId="1" xfId="0" applyFont="1" applyBorder="1" applyAlignment="1">
      <alignment horizontal="center" vertical="center"/>
    </xf>
    <xf numFmtId="39" fontId="5" fillId="0" borderId="1" xfId="0" applyFont="1" applyBorder="1" applyAlignment="1">
      <alignment horizontal="center"/>
    </xf>
    <xf numFmtId="39" fontId="4" fillId="0" borderId="1" xfId="0" applyFont="1" applyBorder="1"/>
    <xf numFmtId="39" fontId="5" fillId="0" borderId="1" xfId="0" applyFont="1" applyBorder="1"/>
    <xf numFmtId="165" fontId="4" fillId="0" borderId="1" xfId="1" applyNumberFormat="1" applyFont="1" applyBorder="1"/>
    <xf numFmtId="165" fontId="5" fillId="0" borderId="1" xfId="1" applyNumberFormat="1" applyFont="1" applyBorder="1" applyAlignment="1">
      <alignment vertical="center"/>
    </xf>
    <xf numFmtId="39" fontId="17" fillId="0" borderId="3" xfId="0" applyFont="1" applyFill="1" applyBorder="1"/>
    <xf numFmtId="39" fontId="18" fillId="0" borderId="3" xfId="0" applyFont="1" applyFill="1" applyBorder="1"/>
    <xf numFmtId="165" fontId="14" fillId="2" borderId="1" xfId="1" applyNumberFormat="1" applyFont="1" applyFill="1" applyBorder="1" applyAlignment="1">
      <alignment vertical="center"/>
    </xf>
    <xf numFmtId="165" fontId="14" fillId="2" borderId="6" xfId="1" applyNumberFormat="1" applyFont="1" applyFill="1" applyBorder="1" applyAlignment="1">
      <alignment vertical="center"/>
    </xf>
    <xf numFmtId="165" fontId="17" fillId="0" borderId="3" xfId="1" applyNumberFormat="1" applyFont="1" applyBorder="1"/>
    <xf numFmtId="165" fontId="14" fillId="0" borderId="3" xfId="1" applyNumberFormat="1" applyFont="1" applyBorder="1"/>
    <xf numFmtId="165" fontId="14" fillId="0" borderId="9" xfId="1" applyNumberFormat="1" applyFont="1" applyBorder="1"/>
    <xf numFmtId="165" fontId="17" fillId="0" borderId="3" xfId="1" applyNumberFormat="1" applyFont="1" applyFill="1" applyBorder="1"/>
    <xf numFmtId="165" fontId="17" fillId="0" borderId="9" xfId="1" applyNumberFormat="1" applyFont="1" applyFill="1" applyBorder="1"/>
    <xf numFmtId="165" fontId="18" fillId="0" borderId="3" xfId="1" applyNumberFormat="1" applyFont="1" applyBorder="1"/>
    <xf numFmtId="165" fontId="18" fillId="0" borderId="9" xfId="1" applyNumberFormat="1" applyFont="1" applyBorder="1"/>
    <xf numFmtId="165" fontId="19" fillId="0" borderId="3" xfId="1" applyNumberFormat="1" applyFont="1" applyBorder="1"/>
    <xf numFmtId="165" fontId="19" fillId="0" borderId="9" xfId="1" applyNumberFormat="1" applyFont="1" applyBorder="1"/>
    <xf numFmtId="165" fontId="15" fillId="0" borderId="3" xfId="1" applyNumberFormat="1" applyFont="1" applyBorder="1"/>
    <xf numFmtId="165" fontId="16" fillId="0" borderId="3" xfId="1" applyNumberFormat="1" applyFont="1" applyBorder="1"/>
    <xf numFmtId="165" fontId="16" fillId="0" borderId="9" xfId="1" applyNumberFormat="1" applyFont="1" applyBorder="1"/>
    <xf numFmtId="165" fontId="15" fillId="0" borderId="5" xfId="1" applyNumberFormat="1" applyFont="1" applyBorder="1"/>
    <xf numFmtId="165" fontId="14" fillId="0" borderId="8" xfId="1" applyNumberFormat="1" applyFont="1" applyBorder="1"/>
    <xf numFmtId="165" fontId="14" fillId="0" borderId="7" xfId="1" applyNumberFormat="1" applyFont="1" applyBorder="1"/>
    <xf numFmtId="165" fontId="15" fillId="0" borderId="3" xfId="1" applyNumberFormat="1" applyFont="1" applyFill="1" applyBorder="1"/>
    <xf numFmtId="165" fontId="16" fillId="0" borderId="8" xfId="1" applyNumberFormat="1" applyFont="1" applyBorder="1"/>
    <xf numFmtId="165" fontId="16" fillId="0" borderId="7" xfId="1" applyNumberFormat="1" applyFont="1" applyBorder="1"/>
    <xf numFmtId="165" fontId="15" fillId="0" borderId="8" xfId="1" applyNumberFormat="1" applyFont="1" applyBorder="1"/>
    <xf numFmtId="165" fontId="19" fillId="0" borderId="8" xfId="1" applyNumberFormat="1" applyFont="1" applyBorder="1"/>
    <xf numFmtId="165" fontId="19" fillId="0" borderId="7" xfId="1" applyNumberFormat="1" applyFont="1" applyBorder="1"/>
    <xf numFmtId="165" fontId="10" fillId="0" borderId="8" xfId="1" applyNumberFormat="1" applyFont="1" applyBorder="1" applyAlignment="1">
      <alignment horizontal="center"/>
    </xf>
    <xf numFmtId="165" fontId="4" fillId="0" borderId="0" xfId="1" applyNumberFormat="1" applyFont="1" applyBorder="1" applyAlignment="1">
      <alignment horizontal="center"/>
    </xf>
    <xf numFmtId="165" fontId="7" fillId="0" borderId="0" xfId="1" applyNumberFormat="1" applyFont="1" applyBorder="1" applyAlignment="1">
      <alignment horizontal="center" vertical="top"/>
    </xf>
    <xf numFmtId="165" fontId="4" fillId="0" borderId="0" xfId="1" applyNumberFormat="1" applyFont="1" applyBorder="1" applyAlignment="1">
      <alignment horizontal="center" vertical="top"/>
    </xf>
    <xf numFmtId="165" fontId="5" fillId="0" borderId="0" xfId="1" applyNumberFormat="1" applyFont="1" applyBorder="1" applyAlignment="1">
      <alignment horizontal="center" vertical="top"/>
    </xf>
    <xf numFmtId="165" fontId="14" fillId="2" borderId="1" xfId="1" applyNumberFormat="1" applyFont="1" applyFill="1" applyBorder="1"/>
    <xf numFmtId="165" fontId="14" fillId="0" borderId="3" xfId="1" applyNumberFormat="1" applyFont="1" applyBorder="1" applyAlignment="1">
      <alignment wrapText="1"/>
    </xf>
    <xf numFmtId="165" fontId="15" fillId="4" borderId="9" xfId="1" applyNumberFormat="1" applyFont="1" applyFill="1" applyBorder="1"/>
    <xf numFmtId="165" fontId="14" fillId="4" borderId="9" xfId="1" applyNumberFormat="1" applyFont="1" applyFill="1" applyBorder="1"/>
    <xf numFmtId="37" fontId="20" fillId="0" borderId="3" xfId="0" applyNumberFormat="1" applyFont="1" applyFill="1" applyBorder="1" applyAlignment="1">
      <alignment horizontal="center" vertical="center"/>
    </xf>
    <xf numFmtId="39" fontId="20" fillId="0" borderId="3" xfId="0" applyFont="1" applyFill="1" applyBorder="1" applyAlignment="1">
      <alignment vertical="center"/>
    </xf>
    <xf numFmtId="167" fontId="20" fillId="0" borderId="3" xfId="0" applyNumberFormat="1" applyFont="1" applyFill="1" applyBorder="1" applyAlignment="1">
      <alignment horizontal="right" vertical="center"/>
    </xf>
    <xf numFmtId="39" fontId="20" fillId="0" borderId="3" xfId="0" applyFont="1" applyFill="1" applyBorder="1" applyAlignment="1">
      <alignment horizontal="center" vertical="center"/>
    </xf>
    <xf numFmtId="39" fontId="20" fillId="0" borderId="0" xfId="0" applyFont="1" applyFill="1" applyAlignment="1">
      <alignment vertical="center"/>
    </xf>
    <xf numFmtId="4" fontId="22" fillId="0" borderId="0" xfId="3" applyNumberFormat="1" applyFont="1" applyAlignment="1">
      <alignment vertical="center"/>
    </xf>
    <xf numFmtId="168" fontId="24" fillId="5" borderId="1" xfId="1" applyNumberFormat="1" applyFont="1" applyFill="1" applyBorder="1"/>
    <xf numFmtId="168" fontId="24" fillId="0" borderId="1" xfId="1" applyNumberFormat="1" applyFont="1" applyBorder="1"/>
    <xf numFmtId="168" fontId="25" fillId="0" borderId="1" xfId="1" applyNumberFormat="1" applyFont="1" applyBorder="1" applyAlignment="1">
      <alignment vertical="center"/>
    </xf>
    <xf numFmtId="169" fontId="8" fillId="0" borderId="1" xfId="1" applyNumberFormat="1" applyFont="1" applyBorder="1" applyAlignment="1">
      <alignment horizontal="right"/>
    </xf>
    <xf numFmtId="169" fontId="10" fillId="0" borderId="3" xfId="1" applyNumberFormat="1" applyFont="1" applyBorder="1" applyAlignment="1">
      <alignment horizontal="right"/>
    </xf>
    <xf numFmtId="170" fontId="10" fillId="0" borderId="3" xfId="1" applyNumberFormat="1" applyFont="1" applyBorder="1" applyAlignment="1">
      <alignment horizontal="right"/>
    </xf>
    <xf numFmtId="170" fontId="8" fillId="0" borderId="1" xfId="1" applyNumberFormat="1" applyFont="1" applyBorder="1" applyAlignment="1">
      <alignment horizontal="right"/>
    </xf>
    <xf numFmtId="170" fontId="8" fillId="0" borderId="5" xfId="1" applyNumberFormat="1" applyFont="1" applyBorder="1" applyAlignment="1">
      <alignment horizontal="right"/>
    </xf>
    <xf numFmtId="39" fontId="26" fillId="0" borderId="13" xfId="0" applyFont="1" applyBorder="1" applyAlignment="1">
      <alignment horizontal="right" vertical="top" wrapText="1"/>
    </xf>
    <xf numFmtId="39" fontId="26" fillId="0" borderId="14" xfId="0" applyFont="1" applyBorder="1" applyAlignment="1">
      <alignment horizontal="right" vertical="top" wrapText="1"/>
    </xf>
    <xf numFmtId="39" fontId="27" fillId="0" borderId="14" xfId="0" applyFont="1" applyBorder="1" applyAlignment="1">
      <alignment horizontal="right" vertical="top" wrapText="1"/>
    </xf>
    <xf numFmtId="170" fontId="10" fillId="4" borderId="3" xfId="1" applyNumberFormat="1" applyFont="1" applyFill="1" applyBorder="1" applyAlignment="1">
      <alignment horizontal="right"/>
    </xf>
    <xf numFmtId="171" fontId="10" fillId="4" borderId="3" xfId="1" applyNumberFormat="1" applyFont="1" applyFill="1" applyBorder="1" applyAlignment="1">
      <alignment horizontal="right"/>
    </xf>
    <xf numFmtId="43" fontId="10" fillId="4" borderId="3" xfId="1" applyFont="1" applyFill="1" applyBorder="1" applyAlignment="1">
      <alignment horizontal="right"/>
    </xf>
    <xf numFmtId="170" fontId="8" fillId="4" borderId="3" xfId="1" applyNumberFormat="1" applyFont="1" applyFill="1" applyBorder="1" applyAlignment="1">
      <alignment horizontal="right"/>
    </xf>
    <xf numFmtId="165" fontId="10" fillId="4" borderId="3" xfId="1" applyNumberFormat="1" applyFont="1" applyFill="1" applyBorder="1" applyAlignment="1">
      <alignment horizontal="center"/>
    </xf>
    <xf numFmtId="165" fontId="10" fillId="4" borderId="3" xfId="1" applyNumberFormat="1" applyFont="1" applyFill="1" applyBorder="1"/>
    <xf numFmtId="165" fontId="10" fillId="4" borderId="5" xfId="1" applyNumberFormat="1" applyFont="1" applyFill="1" applyBorder="1" applyAlignment="1">
      <alignment horizontal="center"/>
    </xf>
    <xf numFmtId="39" fontId="15" fillId="4" borderId="3" xfId="0" applyFont="1" applyFill="1" applyBorder="1"/>
    <xf numFmtId="165" fontId="15" fillId="4" borderId="5" xfId="1" applyNumberFormat="1" applyFont="1" applyFill="1" applyBorder="1"/>
    <xf numFmtId="39" fontId="15" fillId="0" borderId="4" xfId="0" applyFont="1" applyBorder="1"/>
    <xf numFmtId="39" fontId="19" fillId="0" borderId="4" xfId="0" applyFont="1" applyBorder="1"/>
    <xf numFmtId="39" fontId="8" fillId="0" borderId="8" xfId="0" applyFont="1" applyBorder="1" applyAlignment="1">
      <alignment horizontal="center" vertical="center" wrapText="1"/>
    </xf>
    <xf numFmtId="39" fontId="4" fillId="0" borderId="3" xfId="0" applyFont="1" applyBorder="1"/>
    <xf numFmtId="170" fontId="8" fillId="0" borderId="3" xfId="1" applyNumberFormat="1" applyFont="1" applyBorder="1" applyAlignment="1">
      <alignment horizontal="right"/>
    </xf>
    <xf numFmtId="165" fontId="8" fillId="0" borderId="8" xfId="1" applyNumberFormat="1" applyFont="1" applyBorder="1" applyAlignment="1">
      <alignment horizontal="center" vertical="center" wrapText="1"/>
    </xf>
    <xf numFmtId="170" fontId="10" fillId="0" borderId="5" xfId="1" applyNumberFormat="1" applyFont="1" applyBorder="1" applyAlignment="1">
      <alignment horizontal="right"/>
    </xf>
    <xf numFmtId="39" fontId="10" fillId="0" borderId="15" xfId="0" applyFont="1" applyBorder="1"/>
    <xf numFmtId="39" fontId="10" fillId="0" borderId="16" xfId="0" applyFont="1" applyBorder="1" applyAlignment="1">
      <alignment horizontal="center"/>
    </xf>
    <xf numFmtId="165" fontId="10" fillId="0" borderId="7" xfId="1" applyNumberFormat="1" applyFont="1" applyBorder="1"/>
    <xf numFmtId="39" fontId="8" fillId="0" borderId="4" xfId="0" applyFont="1" applyBorder="1" applyAlignment="1">
      <alignment horizontal="center"/>
    </xf>
    <xf numFmtId="39" fontId="8" fillId="0" borderId="0" xfId="0" applyFont="1" applyBorder="1" applyAlignment="1">
      <alignment horizontal="center"/>
    </xf>
    <xf numFmtId="39" fontId="8" fillId="0" borderId="9" xfId="0" applyFont="1" applyBorder="1" applyAlignment="1">
      <alignment horizontal="center"/>
    </xf>
    <xf numFmtId="39" fontId="8" fillId="0" borderId="17" xfId="0" quotePrefix="1" applyFont="1" applyBorder="1" applyAlignment="1">
      <alignment horizontal="left" vertical="center"/>
    </xf>
    <xf numFmtId="165" fontId="8" fillId="0" borderId="10" xfId="1" applyNumberFormat="1" applyFont="1" applyBorder="1" applyAlignment="1">
      <alignment horizontal="left" vertical="center"/>
    </xf>
    <xf numFmtId="39" fontId="9" fillId="0" borderId="15" xfId="0" applyFont="1" applyBorder="1"/>
    <xf numFmtId="39" fontId="9" fillId="0" borderId="16" xfId="0" applyFont="1" applyBorder="1"/>
    <xf numFmtId="165" fontId="9" fillId="0" borderId="16" xfId="1" applyNumberFormat="1" applyFont="1" applyBorder="1"/>
    <xf numFmtId="165" fontId="9" fillId="0" borderId="7" xfId="1" applyNumberFormat="1" applyFont="1" applyBorder="1"/>
    <xf numFmtId="165" fontId="8" fillId="0" borderId="0" xfId="1" applyNumberFormat="1" applyFont="1" applyBorder="1" applyAlignment="1">
      <alignment horizontal="center"/>
    </xf>
    <xf numFmtId="165" fontId="8" fillId="0" borderId="9" xfId="1" applyNumberFormat="1" applyFont="1" applyBorder="1" applyAlignment="1">
      <alignment horizontal="center"/>
    </xf>
    <xf numFmtId="39" fontId="8" fillId="0" borderId="0" xfId="0" applyFont="1" applyBorder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5" fontId="10" fillId="0" borderId="9" xfId="1" applyNumberFormat="1" applyFont="1" applyBorder="1" applyAlignment="1">
      <alignment horizontal="center"/>
    </xf>
    <xf numFmtId="39" fontId="8" fillId="0" borderId="4" xfId="0" applyFont="1" applyBorder="1" applyAlignment="1">
      <alignment vertical="center"/>
    </xf>
    <xf numFmtId="165" fontId="8" fillId="0" borderId="9" xfId="1" applyNumberFormat="1" applyFont="1" applyBorder="1"/>
    <xf numFmtId="39" fontId="6" fillId="0" borderId="4" xfId="0" applyFont="1" applyBorder="1" applyAlignment="1">
      <alignment horizontal="left" vertical="center"/>
    </xf>
    <xf numFmtId="165" fontId="4" fillId="0" borderId="9" xfId="1" applyNumberFormat="1" applyFont="1" applyBorder="1"/>
    <xf numFmtId="39" fontId="4" fillId="0" borderId="4" xfId="0" applyFont="1" applyBorder="1" applyAlignment="1">
      <alignment horizontal="left" vertical="center"/>
    </xf>
    <xf numFmtId="39" fontId="4" fillId="0" borderId="4" xfId="0" applyFont="1" applyBorder="1" applyAlignment="1">
      <alignment horizontal="left" vertical="top"/>
    </xf>
    <xf numFmtId="39" fontId="5" fillId="0" borderId="4" xfId="0" applyFont="1" applyBorder="1" applyAlignment="1">
      <alignment horizontal="left" vertical="top"/>
    </xf>
    <xf numFmtId="39" fontId="7" fillId="0" borderId="4" xfId="0" applyFont="1" applyBorder="1" applyAlignment="1">
      <alignment horizontal="left" vertical="center"/>
    </xf>
    <xf numFmtId="165" fontId="5" fillId="0" borderId="9" xfId="1" applyNumberFormat="1" applyFont="1" applyBorder="1"/>
    <xf numFmtId="39" fontId="4" fillId="0" borderId="4" xfId="0" applyFont="1" applyBorder="1"/>
    <xf numFmtId="165" fontId="9" fillId="0" borderId="9" xfId="1" applyNumberFormat="1" applyFont="1" applyBorder="1"/>
    <xf numFmtId="39" fontId="5" fillId="0" borderId="4" xfId="0" applyFont="1" applyBorder="1"/>
    <xf numFmtId="165" fontId="5" fillId="0" borderId="9" xfId="1" applyNumberFormat="1" applyFont="1" applyBorder="1" applyAlignment="1">
      <alignment horizontal="left"/>
    </xf>
    <xf numFmtId="165" fontId="4" fillId="0" borderId="9" xfId="1" applyNumberFormat="1" applyFont="1" applyBorder="1" applyAlignment="1">
      <alignment horizontal="left" vertical="top"/>
    </xf>
    <xf numFmtId="165" fontId="5" fillId="0" borderId="9" xfId="1" applyNumberFormat="1" applyFont="1" applyBorder="1" applyAlignment="1">
      <alignment horizontal="left" vertical="top"/>
    </xf>
    <xf numFmtId="165" fontId="5" fillId="0" borderId="9" xfId="1" applyNumberFormat="1" applyFont="1" applyBorder="1" applyAlignment="1">
      <alignment vertical="top"/>
    </xf>
    <xf numFmtId="39" fontId="4" fillId="0" borderId="0" xfId="0" applyFont="1" applyBorder="1"/>
    <xf numFmtId="39" fontId="7" fillId="0" borderId="4" xfId="0" applyFont="1" applyBorder="1" applyAlignment="1">
      <alignment horizontal="left" vertical="top"/>
    </xf>
    <xf numFmtId="166" fontId="4" fillId="0" borderId="17" xfId="0" applyNumberFormat="1" applyFont="1" applyBorder="1"/>
    <xf numFmtId="39" fontId="5" fillId="0" borderId="11" xfId="0" applyFont="1" applyBorder="1" applyAlignment="1">
      <alignment horizontal="center" vertical="top"/>
    </xf>
    <xf numFmtId="165" fontId="5" fillId="0" borderId="11" xfId="1" applyNumberFormat="1" applyFont="1" applyBorder="1" applyAlignment="1">
      <alignment horizontal="center" vertical="top"/>
    </xf>
    <xf numFmtId="165" fontId="5" fillId="0" borderId="10" xfId="1" applyNumberFormat="1" applyFont="1" applyBorder="1" applyAlignment="1">
      <alignment horizontal="left" vertical="top"/>
    </xf>
    <xf numFmtId="39" fontId="28" fillId="0" borderId="15" xfId="0" applyFont="1" applyBorder="1" applyAlignment="1">
      <alignment horizontal="left" vertical="center"/>
    </xf>
    <xf numFmtId="165" fontId="8" fillId="0" borderId="7" xfId="1" applyNumberFormat="1" applyFont="1" applyBorder="1"/>
    <xf numFmtId="39" fontId="10" fillId="0" borderId="4" xfId="0" applyFont="1" applyBorder="1" applyAlignment="1">
      <alignment horizontal="left" vertical="center"/>
    </xf>
    <xf numFmtId="39" fontId="4" fillId="0" borderId="9" xfId="0" applyFont="1" applyBorder="1"/>
    <xf numFmtId="39" fontId="5" fillId="0" borderId="9" xfId="0" applyFont="1" applyBorder="1" applyAlignment="1">
      <alignment horizontal="left"/>
    </xf>
    <xf numFmtId="171" fontId="10" fillId="0" borderId="3" xfId="1" applyNumberFormat="1" applyFont="1" applyBorder="1" applyAlignment="1">
      <alignment horizontal="right"/>
    </xf>
    <xf numFmtId="170" fontId="17" fillId="0" borderId="3" xfId="1" applyNumberFormat="1" applyFont="1" applyBorder="1" applyAlignment="1">
      <alignment horizontal="right"/>
    </xf>
    <xf numFmtId="43" fontId="17" fillId="0" borderId="3" xfId="1" applyFont="1" applyBorder="1" applyAlignment="1">
      <alignment horizontal="right"/>
    </xf>
    <xf numFmtId="170" fontId="17" fillId="0" borderId="5" xfId="1" applyNumberFormat="1" applyFont="1" applyBorder="1" applyAlignment="1">
      <alignment horizontal="right"/>
    </xf>
    <xf numFmtId="170" fontId="17" fillId="0" borderId="18" xfId="1" applyNumberFormat="1" applyFont="1" applyBorder="1" applyAlignment="1">
      <alignment horizontal="right"/>
    </xf>
    <xf numFmtId="170" fontId="14" fillId="0" borderId="18" xfId="1" applyNumberFormat="1" applyFont="1" applyBorder="1" applyAlignment="1">
      <alignment horizontal="right"/>
    </xf>
    <xf numFmtId="171" fontId="17" fillId="0" borderId="3" xfId="1" applyNumberFormat="1" applyFont="1" applyBorder="1" applyAlignment="1">
      <alignment horizontal="right"/>
    </xf>
    <xf numFmtId="165" fontId="17" fillId="0" borderId="3" xfId="1" applyNumberFormat="1" applyFont="1" applyBorder="1" applyAlignment="1">
      <alignment horizontal="right"/>
    </xf>
    <xf numFmtId="171" fontId="17" fillId="0" borderId="5" xfId="1" applyNumberFormat="1" applyFont="1" applyBorder="1" applyAlignment="1">
      <alignment horizontal="right"/>
    </xf>
    <xf numFmtId="172" fontId="17" fillId="0" borderId="3" xfId="1" applyNumberFormat="1" applyFont="1" applyBorder="1" applyAlignment="1">
      <alignment horizontal="right"/>
    </xf>
    <xf numFmtId="165" fontId="15" fillId="0" borderId="9" xfId="1" applyNumberFormat="1" applyFont="1" applyBorder="1" applyAlignment="1"/>
    <xf numFmtId="43" fontId="17" fillId="0" borderId="5" xfId="1" applyFont="1" applyBorder="1" applyAlignment="1">
      <alignment horizontal="right"/>
    </xf>
    <xf numFmtId="170" fontId="17" fillId="0" borderId="1" xfId="1" applyNumberFormat="1" applyFont="1" applyBorder="1" applyAlignment="1">
      <alignment horizontal="right"/>
    </xf>
    <xf numFmtId="171" fontId="17" fillId="0" borderId="1" xfId="1" applyNumberFormat="1" applyFont="1" applyBorder="1" applyAlignment="1">
      <alignment horizontal="right"/>
    </xf>
    <xf numFmtId="170" fontId="15" fillId="0" borderId="9" xfId="1" applyNumberFormat="1" applyFont="1" applyBorder="1"/>
    <xf numFmtId="170" fontId="15" fillId="0" borderId="5" xfId="1" applyNumberFormat="1" applyFont="1" applyBorder="1"/>
    <xf numFmtId="171" fontId="15" fillId="0" borderId="3" xfId="1" applyNumberFormat="1" applyFont="1" applyBorder="1"/>
    <xf numFmtId="170" fontId="15" fillId="0" borderId="3" xfId="1" applyNumberFormat="1" applyFont="1" applyBorder="1"/>
    <xf numFmtId="165" fontId="15" fillId="0" borderId="0" xfId="1" applyNumberFormat="1" applyFont="1" applyBorder="1"/>
    <xf numFmtId="39" fontId="16" fillId="0" borderId="4" xfId="0" applyFont="1" applyBorder="1"/>
    <xf numFmtId="170" fontId="16" fillId="0" borderId="18" xfId="1" applyNumberFormat="1" applyFont="1" applyBorder="1"/>
    <xf numFmtId="43" fontId="15" fillId="0" borderId="9" xfId="1" applyFont="1" applyBorder="1"/>
    <xf numFmtId="171" fontId="15" fillId="0" borderId="9" xfId="1" applyNumberFormat="1" applyFont="1" applyBorder="1"/>
    <xf numFmtId="170" fontId="16" fillId="0" borderId="0" xfId="1" applyNumberFormat="1" applyFont="1" applyBorder="1"/>
    <xf numFmtId="170" fontId="16" fillId="0" borderId="8" xfId="1" applyNumberFormat="1" applyFont="1" applyBorder="1"/>
    <xf numFmtId="170" fontId="16" fillId="0" borderId="1" xfId="1" applyNumberFormat="1" applyFont="1" applyBorder="1"/>
    <xf numFmtId="171" fontId="16" fillId="0" borderId="1" xfId="1" applyNumberFormat="1" applyFont="1" applyBorder="1"/>
    <xf numFmtId="171" fontId="16" fillId="0" borderId="18" xfId="1" applyNumberFormat="1" applyFont="1" applyBorder="1"/>
    <xf numFmtId="172" fontId="15" fillId="0" borderId="9" xfId="1" applyNumberFormat="1" applyFont="1" applyBorder="1"/>
    <xf numFmtId="39" fontId="8" fillId="0" borderId="4" xfId="0" applyFont="1" applyBorder="1" applyAlignment="1">
      <alignment horizontal="center"/>
    </xf>
    <xf numFmtId="39" fontId="8" fillId="0" borderId="0" xfId="0" applyFont="1" applyBorder="1" applyAlignment="1">
      <alignment horizontal="center"/>
    </xf>
    <xf numFmtId="39" fontId="8" fillId="0" borderId="9" xfId="0" applyFont="1" applyBorder="1" applyAlignment="1">
      <alignment horizontal="center"/>
    </xf>
    <xf numFmtId="39" fontId="8" fillId="0" borderId="4" xfId="0" quotePrefix="1" applyFont="1" applyBorder="1" applyAlignment="1">
      <alignment horizontal="center" vertical="center"/>
    </xf>
    <xf numFmtId="39" fontId="8" fillId="0" borderId="0" xfId="0" quotePrefix="1" applyFont="1" applyBorder="1" applyAlignment="1">
      <alignment horizontal="center" vertical="center"/>
    </xf>
    <xf numFmtId="39" fontId="8" fillId="0" borderId="9" xfId="0" quotePrefix="1" applyFont="1" applyBorder="1" applyAlignment="1">
      <alignment horizontal="center" vertical="center"/>
    </xf>
    <xf numFmtId="165" fontId="5" fillId="0" borderId="4" xfId="1" applyNumberFormat="1" applyFont="1" applyBorder="1" applyAlignment="1">
      <alignment horizontal="left"/>
    </xf>
    <xf numFmtId="165" fontId="5" fillId="0" borderId="0" xfId="1" applyNumberFormat="1" applyFont="1" applyBorder="1" applyAlignment="1">
      <alignment horizontal="left"/>
    </xf>
    <xf numFmtId="165" fontId="5" fillId="0" borderId="9" xfId="1" applyNumberFormat="1" applyFont="1" applyBorder="1" applyAlignment="1">
      <alignment horizontal="left"/>
    </xf>
    <xf numFmtId="39" fontId="14" fillId="0" borderId="0" xfId="0" applyFont="1" applyAlignment="1">
      <alignment horizontal="center"/>
    </xf>
    <xf numFmtId="39" fontId="16" fillId="0" borderId="0" xfId="0" applyFont="1" applyAlignment="1">
      <alignment horizontal="center"/>
    </xf>
    <xf numFmtId="39" fontId="22" fillId="0" borderId="1" xfId="0" applyFont="1" applyBorder="1" applyAlignment="1">
      <alignment horizontal="center" vertical="center"/>
    </xf>
    <xf numFmtId="0" fontId="22" fillId="0" borderId="0" xfId="3" applyFont="1" applyAlignment="1">
      <alignment horizontal="left" vertical="center"/>
    </xf>
    <xf numFmtId="39" fontId="8" fillId="0" borderId="4" xfId="0" applyFont="1" applyBorder="1" applyAlignment="1">
      <alignment horizontal="center" vertical="center"/>
    </xf>
    <xf numFmtId="39" fontId="8" fillId="0" borderId="0" xfId="0" applyFont="1" applyBorder="1" applyAlignment="1">
      <alignment horizontal="center" vertical="center"/>
    </xf>
    <xf numFmtId="39" fontId="8" fillId="0" borderId="9" xfId="0" applyFont="1" applyBorder="1" applyAlignment="1">
      <alignment horizontal="center" vertical="center"/>
    </xf>
    <xf numFmtId="39" fontId="22" fillId="0" borderId="0" xfId="0" applyFont="1" applyAlignment="1">
      <alignment horizontal="left" vertical="center"/>
    </xf>
    <xf numFmtId="39" fontId="8" fillId="0" borderId="0" xfId="0" applyFont="1" applyAlignment="1">
      <alignment horizontal="center"/>
    </xf>
    <xf numFmtId="39" fontId="4" fillId="0" borderId="0" xfId="0" applyFont="1" applyAlignment="1">
      <alignment horizontal="center"/>
    </xf>
    <xf numFmtId="39" fontId="5" fillId="0" borderId="1" xfId="0" applyFont="1" applyBorder="1" applyAlignment="1">
      <alignment horizontal="center" vertical="center"/>
    </xf>
    <xf numFmtId="39" fontId="5" fillId="0" borderId="12" xfId="0" applyFont="1" applyBorder="1" applyAlignment="1">
      <alignment horizontal="center" vertical="center"/>
    </xf>
    <xf numFmtId="39" fontId="5" fillId="0" borderId="2" xfId="0" applyFont="1" applyBorder="1" applyAlignment="1">
      <alignment horizontal="center" vertical="center"/>
    </xf>
    <xf numFmtId="39" fontId="5" fillId="0" borderId="6" xfId="0" applyFont="1" applyBorder="1" applyAlignment="1">
      <alignment horizontal="center" vertical="center"/>
    </xf>
    <xf numFmtId="39" fontId="5" fillId="0" borderId="8" xfId="0" applyFont="1" applyBorder="1" applyAlignment="1">
      <alignment horizontal="center" vertical="center"/>
    </xf>
    <xf numFmtId="39" fontId="5" fillId="0" borderId="5" xfId="0" applyFont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86591</xdr:colOff>
      <xdr:row>0</xdr:row>
      <xdr:rowOff>78278</xdr:rowOff>
    </xdr:from>
    <xdr:to>
      <xdr:col>1</xdr:col>
      <xdr:colOff>1298864</xdr:colOff>
      <xdr:row>3</xdr:row>
      <xdr:rowOff>43298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591" y="78278"/>
          <a:ext cx="1212273" cy="74433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350184</xdr:colOff>
      <xdr:row>0</xdr:row>
      <xdr:rowOff>182096</xdr:rowOff>
    </xdr:from>
    <xdr:to>
      <xdr:col>1</xdr:col>
      <xdr:colOff>1562457</xdr:colOff>
      <xdr:row>3</xdr:row>
      <xdr:rowOff>170037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6544" y="182096"/>
          <a:ext cx="1212273" cy="74433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64"/>
  <sheetViews>
    <sheetView showGridLines="0" view="pageBreakPreview" topLeftCell="A52" zoomScale="66" zoomScaleNormal="68" zoomScaleSheetLayoutView="66" workbookViewId="0">
      <selection activeCell="B1" sqref="B1:E61"/>
    </sheetView>
  </sheetViews>
  <sheetFormatPr defaultRowHeight="20.25"/>
  <cols>
    <col min="1" max="1" width="9" style="14"/>
    <col min="2" max="2" width="73" style="14" customWidth="1"/>
    <col min="3" max="3" width="8.75" style="20" customWidth="1"/>
    <col min="4" max="4" width="27.75" style="20" customWidth="1"/>
    <col min="5" max="5" width="28.25" style="15" customWidth="1"/>
    <col min="6" max="6" width="23.75" style="14" bestFit="1" customWidth="1"/>
    <col min="7" max="7" width="23.25" style="14" bestFit="1" customWidth="1"/>
    <col min="8" max="8" width="4.125" style="14" customWidth="1"/>
    <col min="9" max="9" width="7.375" style="14" customWidth="1"/>
    <col min="10" max="10" width="6.5" style="14" customWidth="1"/>
    <col min="11" max="11" width="37.375" style="14" bestFit="1" customWidth="1"/>
    <col min="12" max="16384" width="9" style="14"/>
  </cols>
  <sheetData>
    <row r="1" spans="2:5">
      <c r="B1" s="221"/>
      <c r="C1" s="222"/>
      <c r="D1" s="222"/>
      <c r="E1" s="223"/>
    </row>
    <row r="2" spans="2:5">
      <c r="B2" s="294" t="s">
        <v>256</v>
      </c>
      <c r="C2" s="295"/>
      <c r="D2" s="295"/>
      <c r="E2" s="296"/>
    </row>
    <row r="3" spans="2:5">
      <c r="B3" s="224"/>
      <c r="C3" s="225"/>
      <c r="D3" s="225"/>
      <c r="E3" s="226"/>
    </row>
    <row r="4" spans="2:5">
      <c r="B4" s="297" t="s">
        <v>512</v>
      </c>
      <c r="C4" s="298"/>
      <c r="D4" s="298"/>
      <c r="E4" s="299"/>
    </row>
    <row r="5" spans="2:5">
      <c r="B5" s="227"/>
      <c r="C5" s="74"/>
      <c r="D5" s="74"/>
      <c r="E5" s="228" t="s">
        <v>529</v>
      </c>
    </row>
    <row r="6" spans="2:5" ht="56.25" customHeight="1">
      <c r="B6" s="27" t="s">
        <v>0</v>
      </c>
      <c r="C6" s="75" t="s">
        <v>1</v>
      </c>
      <c r="D6" s="76" t="s">
        <v>514</v>
      </c>
      <c r="E6" s="76" t="s">
        <v>513</v>
      </c>
    </row>
    <row r="7" spans="2:5">
      <c r="B7" s="86"/>
      <c r="C7" s="216"/>
      <c r="D7" s="216"/>
      <c r="E7" s="219"/>
    </row>
    <row r="8" spans="2:5">
      <c r="B8" s="77" t="s">
        <v>252</v>
      </c>
      <c r="C8" s="32"/>
      <c r="D8" s="32"/>
      <c r="E8" s="23"/>
    </row>
    <row r="9" spans="2:5">
      <c r="B9" s="78"/>
      <c r="C9" s="32"/>
      <c r="D9" s="32"/>
      <c r="E9" s="23"/>
    </row>
    <row r="10" spans="2:5">
      <c r="B10" s="78" t="s">
        <v>14</v>
      </c>
      <c r="C10" s="30">
        <v>1</v>
      </c>
      <c r="D10" s="199">
        <f>+'Sch-BS'!D22</f>
        <v>4451152300</v>
      </c>
      <c r="E10" s="199">
        <v>4189432500</v>
      </c>
    </row>
    <row r="11" spans="2:5">
      <c r="B11" s="78" t="s">
        <v>17</v>
      </c>
      <c r="C11" s="30">
        <v>2</v>
      </c>
      <c r="D11" s="199">
        <f>+'Sch-BS'!D54</f>
        <v>7561262454.3600006</v>
      </c>
      <c r="E11" s="199">
        <v>7123372519.5299997</v>
      </c>
    </row>
    <row r="12" spans="2:5">
      <c r="B12" s="78" t="s">
        <v>18</v>
      </c>
      <c r="C12" s="30"/>
      <c r="D12" s="199">
        <f>+'Draft-BS'!E119</f>
        <v>342500000</v>
      </c>
      <c r="E12" s="199">
        <v>330000000</v>
      </c>
    </row>
    <row r="13" spans="2:5">
      <c r="B13" s="78" t="s">
        <v>16</v>
      </c>
      <c r="C13" s="30">
        <f>C11+1</f>
        <v>3</v>
      </c>
      <c r="D13" s="199">
        <f>+'Sch-BS'!D75+1</f>
        <v>91514235113.490005</v>
      </c>
      <c r="E13" s="199">
        <v>73637948604.020004</v>
      </c>
    </row>
    <row r="14" spans="2:5">
      <c r="B14" s="78" t="s">
        <v>15</v>
      </c>
      <c r="C14" s="30">
        <f>C13+1</f>
        <v>4</v>
      </c>
      <c r="D14" s="199">
        <f>+'Sch-BS'!D87</f>
        <v>64312249690</v>
      </c>
      <c r="E14" s="199">
        <v>74551045862</v>
      </c>
    </row>
    <row r="15" spans="2:5">
      <c r="B15" s="78" t="s">
        <v>19</v>
      </c>
      <c r="C15" s="30"/>
      <c r="D15" s="199">
        <f>+'Draft-BS'!E98</f>
        <v>886708073</v>
      </c>
      <c r="E15" s="199">
        <v>342214072.39999998</v>
      </c>
    </row>
    <row r="16" spans="2:5">
      <c r="B16" s="78" t="s">
        <v>12</v>
      </c>
      <c r="C16" s="30">
        <v>5</v>
      </c>
      <c r="D16" s="199">
        <f>+'Sch-BS'!D109</f>
        <v>2303956215.5100002</v>
      </c>
      <c r="E16" s="199">
        <v>1872126098.6900001</v>
      </c>
    </row>
    <row r="17" spans="2:7">
      <c r="B17" s="78" t="s">
        <v>477</v>
      </c>
      <c r="C17" s="30"/>
      <c r="D17" s="199">
        <f>+'Draft-BS'!E94+'Draft-BS'!E96</f>
        <v>1811459344</v>
      </c>
      <c r="E17" s="199">
        <v>1739627629.0999999</v>
      </c>
    </row>
    <row r="18" spans="2:7">
      <c r="B18" s="78"/>
      <c r="C18" s="22"/>
      <c r="D18" s="22"/>
      <c r="E18" s="199"/>
    </row>
    <row r="19" spans="2:7">
      <c r="B19" s="78"/>
      <c r="C19" s="79"/>
      <c r="D19" s="79"/>
      <c r="E19" s="220"/>
    </row>
    <row r="20" spans="2:7">
      <c r="B20" s="27" t="s">
        <v>3</v>
      </c>
      <c r="C20" s="43"/>
      <c r="D20" s="218">
        <f>+SUM(D10:D17)</f>
        <v>173183523190.36002</v>
      </c>
      <c r="E20" s="200">
        <f>+SUM(E10:E17)</f>
        <v>163785767285.73999</v>
      </c>
    </row>
    <row r="21" spans="2:7">
      <c r="B21" s="80"/>
      <c r="C21" s="39"/>
      <c r="D21" s="39"/>
      <c r="E21" s="21"/>
    </row>
    <row r="22" spans="2:7">
      <c r="B22" s="31" t="s">
        <v>253</v>
      </c>
      <c r="C22" s="32"/>
      <c r="D22" s="32"/>
      <c r="E22" s="23"/>
    </row>
    <row r="23" spans="2:7">
      <c r="B23" s="22"/>
      <c r="C23" s="32"/>
      <c r="D23" s="32"/>
      <c r="E23" s="23"/>
    </row>
    <row r="24" spans="2:7">
      <c r="B24" s="22" t="s">
        <v>20</v>
      </c>
      <c r="C24" s="30">
        <v>6</v>
      </c>
      <c r="D24" s="199">
        <f>+'Sch-BS'!D123</f>
        <v>11981436673.380001</v>
      </c>
      <c r="E24" s="199">
        <v>17173005880.59</v>
      </c>
    </row>
    <row r="25" spans="2:7">
      <c r="B25" s="22" t="s">
        <v>21</v>
      </c>
      <c r="C25" s="30"/>
      <c r="D25" s="199">
        <f>+'Draft-BS'!J18</f>
        <v>3350000000</v>
      </c>
      <c r="E25" s="199">
        <v>2899000000</v>
      </c>
    </row>
    <row r="26" spans="2:7">
      <c r="B26" s="22" t="s">
        <v>22</v>
      </c>
      <c r="C26" s="30">
        <f>C24+1</f>
        <v>7</v>
      </c>
      <c r="D26" s="199">
        <f>+'Sch-BS'!D139</f>
        <v>34147005788.669998</v>
      </c>
      <c r="E26" s="199">
        <v>32434829267.559998</v>
      </c>
    </row>
    <row r="27" spans="2:7">
      <c r="B27" s="22" t="s">
        <v>23</v>
      </c>
      <c r="C27" s="30">
        <f>C26+1</f>
        <v>8</v>
      </c>
      <c r="D27" s="199">
        <f>+'Sch-BS'!D199</f>
        <v>109173301171.44998</v>
      </c>
      <c r="E27" s="199">
        <v>107747261119.17</v>
      </c>
    </row>
    <row r="28" spans="2:7">
      <c r="B28" s="22" t="s">
        <v>24</v>
      </c>
      <c r="C28" s="30">
        <f>C27+1</f>
        <v>9</v>
      </c>
      <c r="D28" s="199">
        <f>+'Sch-BS'!D209+'Sch-BS'!D218+'Sch-BS'!D228+'Sch-BS'!D237</f>
        <v>1024030369.13</v>
      </c>
      <c r="E28" s="199">
        <v>1285513080.2</v>
      </c>
    </row>
    <row r="29" spans="2:7">
      <c r="B29" s="22" t="s">
        <v>25</v>
      </c>
      <c r="C29" s="30">
        <f>C28+1</f>
        <v>10</v>
      </c>
      <c r="D29" s="199">
        <f>+'Sch-BS'!D251</f>
        <v>11688479775.790001</v>
      </c>
      <c r="E29" s="199">
        <v>484409241.15999997</v>
      </c>
    </row>
    <row r="30" spans="2:7">
      <c r="B30" s="22" t="s">
        <v>266</v>
      </c>
      <c r="C30" s="30"/>
      <c r="D30" s="265">
        <f>+'Draft-BS'!J90</f>
        <v>7810068</v>
      </c>
      <c r="E30" s="199">
        <v>22121067.960000001</v>
      </c>
    </row>
    <row r="31" spans="2:7">
      <c r="B31" s="78" t="s">
        <v>477</v>
      </c>
      <c r="C31" s="30"/>
      <c r="D31" s="199">
        <f>+D17</f>
        <v>1811459344</v>
      </c>
      <c r="E31" s="199">
        <v>1739627629.0999999</v>
      </c>
    </row>
    <row r="32" spans="2:7">
      <c r="B32" s="25"/>
      <c r="C32" s="81"/>
      <c r="D32" s="199"/>
      <c r="E32" s="199"/>
      <c r="F32" s="14">
        <f>+D33-D20</f>
        <v>5.999755859375E-2</v>
      </c>
      <c r="G32" s="44">
        <f>E33-E20</f>
        <v>0</v>
      </c>
    </row>
    <row r="33" spans="2:7">
      <c r="B33" s="27" t="s">
        <v>3</v>
      </c>
      <c r="C33" s="43"/>
      <c r="D33" s="200">
        <f>+SUM(D24:D31)</f>
        <v>173183523190.42001</v>
      </c>
      <c r="E33" s="200">
        <f>+SUM(E24:E31)</f>
        <v>163785767285.74002</v>
      </c>
      <c r="F33" s="44"/>
      <c r="G33" s="44"/>
    </row>
    <row r="34" spans="2:7">
      <c r="B34" s="260" t="s">
        <v>528</v>
      </c>
      <c r="C34" s="222"/>
      <c r="D34" s="222"/>
      <c r="E34" s="261"/>
    </row>
    <row r="35" spans="2:7">
      <c r="B35" s="262" t="s">
        <v>531</v>
      </c>
      <c r="C35" s="45"/>
      <c r="D35" s="45"/>
      <c r="E35" s="239"/>
    </row>
    <row r="36" spans="2:7">
      <c r="B36" s="240" t="s">
        <v>251</v>
      </c>
      <c r="C36" s="1"/>
      <c r="D36" s="1"/>
      <c r="E36" s="241"/>
    </row>
    <row r="37" spans="2:7">
      <c r="B37" s="242" t="s">
        <v>5</v>
      </c>
      <c r="C37" s="2">
        <v>23</v>
      </c>
      <c r="D37" s="2"/>
      <c r="E37" s="241"/>
    </row>
    <row r="38" spans="2:7">
      <c r="B38" s="242" t="s">
        <v>4</v>
      </c>
      <c r="C38" s="2">
        <v>24</v>
      </c>
      <c r="D38" s="2"/>
      <c r="E38" s="241"/>
    </row>
    <row r="39" spans="2:7">
      <c r="B39" s="242"/>
      <c r="C39" s="2"/>
      <c r="D39" s="2"/>
      <c r="E39" s="241"/>
    </row>
    <row r="40" spans="2:7">
      <c r="B40" s="243" t="s">
        <v>494</v>
      </c>
      <c r="C40" s="1"/>
      <c r="D40" s="1"/>
      <c r="E40" s="241"/>
    </row>
    <row r="41" spans="2:7">
      <c r="B41" s="244" t="s">
        <v>491</v>
      </c>
      <c r="C41" s="1"/>
      <c r="D41" s="1"/>
      <c r="E41" s="241"/>
    </row>
    <row r="42" spans="2:7">
      <c r="B42" s="245" t="s">
        <v>6</v>
      </c>
      <c r="C42" s="1"/>
      <c r="D42" s="1"/>
      <c r="E42" s="241"/>
    </row>
    <row r="43" spans="2:7">
      <c r="B43" s="243" t="s">
        <v>510</v>
      </c>
      <c r="C43" s="9"/>
      <c r="D43" s="9"/>
      <c r="E43" s="246"/>
    </row>
    <row r="44" spans="2:7">
      <c r="B44" s="243"/>
      <c r="C44" s="9"/>
      <c r="D44" s="9"/>
      <c r="E44" s="246"/>
    </row>
    <row r="45" spans="2:7">
      <c r="B45" s="243"/>
      <c r="C45" s="9"/>
      <c r="D45" s="9"/>
      <c r="E45" s="246"/>
    </row>
    <row r="46" spans="2:7">
      <c r="B46" s="247"/>
      <c r="C46" s="12"/>
      <c r="D46" s="12"/>
      <c r="E46" s="263"/>
    </row>
    <row r="47" spans="2:7">
      <c r="B47" s="247"/>
      <c r="C47" s="4"/>
      <c r="D47" s="10" t="s">
        <v>259</v>
      </c>
      <c r="E47" s="24"/>
    </row>
    <row r="48" spans="2:7">
      <c r="B48" s="249" t="s">
        <v>526</v>
      </c>
      <c r="C48" s="3"/>
      <c r="D48" s="3"/>
      <c r="E48" s="264"/>
    </row>
    <row r="49" spans="2:5">
      <c r="B49" s="243" t="s">
        <v>254</v>
      </c>
      <c r="C49" s="5"/>
      <c r="D49" s="5"/>
      <c r="E49" s="251"/>
    </row>
    <row r="50" spans="2:5">
      <c r="B50" s="243" t="s">
        <v>520</v>
      </c>
      <c r="C50" s="11"/>
      <c r="D50" s="11"/>
      <c r="E50" s="252"/>
    </row>
    <row r="51" spans="2:5">
      <c r="B51" s="243"/>
      <c r="C51" s="11"/>
      <c r="D51" s="11"/>
      <c r="E51" s="252"/>
    </row>
    <row r="52" spans="2:5">
      <c r="B52" s="243"/>
      <c r="C52" s="11"/>
      <c r="D52" s="11"/>
      <c r="E52" s="252"/>
    </row>
    <row r="53" spans="2:5">
      <c r="B53" s="243"/>
      <c r="C53" s="11"/>
      <c r="D53" s="11"/>
      <c r="E53" s="252"/>
    </row>
    <row r="54" spans="2:5">
      <c r="B54" s="243"/>
      <c r="C54" s="6"/>
      <c r="D54" s="6"/>
      <c r="E54" s="251"/>
    </row>
    <row r="55" spans="2:5" ht="18.75" customHeight="1">
      <c r="B55" s="244"/>
      <c r="C55" s="7"/>
      <c r="D55" s="7"/>
      <c r="E55" s="253"/>
    </row>
    <row r="56" spans="2:5">
      <c r="B56" s="247"/>
      <c r="C56" s="254"/>
      <c r="D56" s="254"/>
      <c r="E56" s="263"/>
    </row>
    <row r="57" spans="2:5">
      <c r="B57" s="300" t="s">
        <v>260</v>
      </c>
      <c r="C57" s="301"/>
      <c r="D57" s="301"/>
      <c r="E57" s="302"/>
    </row>
    <row r="58" spans="2:5">
      <c r="B58" s="255"/>
      <c r="C58" s="6"/>
      <c r="D58" s="6"/>
      <c r="E58" s="251"/>
    </row>
    <row r="59" spans="2:5">
      <c r="B59" s="243" t="s">
        <v>511</v>
      </c>
      <c r="C59" s="6"/>
      <c r="D59" s="6"/>
      <c r="E59" s="251"/>
    </row>
    <row r="60" spans="2:5">
      <c r="B60" s="243" t="s">
        <v>538</v>
      </c>
      <c r="C60" s="6"/>
      <c r="D60" s="6"/>
      <c r="E60" s="251"/>
    </row>
    <row r="61" spans="2:5">
      <c r="B61" s="256"/>
      <c r="C61" s="257"/>
      <c r="D61" s="257"/>
      <c r="E61" s="259"/>
    </row>
    <row r="62" spans="2:5">
      <c r="B62" s="46"/>
      <c r="C62" s="82"/>
      <c r="D62" s="82"/>
      <c r="E62" s="83"/>
    </row>
    <row r="63" spans="2:5">
      <c r="B63" s="84"/>
      <c r="C63" s="48"/>
      <c r="D63" s="48"/>
      <c r="E63" s="47"/>
    </row>
    <row r="64" spans="2:5">
      <c r="B64" s="85"/>
      <c r="C64" s="45"/>
      <c r="D64" s="45"/>
      <c r="E64" s="41"/>
    </row>
  </sheetData>
  <mergeCells count="3">
    <mergeCell ref="B2:E2"/>
    <mergeCell ref="B4:E4"/>
    <mergeCell ref="B57:E57"/>
  </mergeCells>
  <printOptions horizontalCentered="1"/>
  <pageMargins left="0.70866141732283472" right="0.70866141732283472" top="0.35433070866141736" bottom="0.35433070866141736" header="0" footer="0"/>
  <pageSetup paperSize="9" scale="60" orientation="portrait" r:id="rId1"/>
  <rowBreaks count="1" manualBreakCount="1">
    <brk id="61" min="1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I252"/>
  <sheetViews>
    <sheetView showGridLines="0" view="pageBreakPreview" topLeftCell="A228" zoomScale="37" zoomScaleNormal="64" zoomScaleSheetLayoutView="37" workbookViewId="0">
      <selection activeCell="B2" sqref="B2:F252"/>
    </sheetView>
  </sheetViews>
  <sheetFormatPr defaultRowHeight="33"/>
  <cols>
    <col min="1" max="1" width="9" style="50"/>
    <col min="2" max="2" width="110.375" style="50" customWidth="1"/>
    <col min="3" max="3" width="40.125" style="59" customWidth="1"/>
    <col min="4" max="4" width="41.875" style="59" customWidth="1"/>
    <col min="5" max="6" width="40.875" style="59" customWidth="1"/>
    <col min="7" max="7" width="35.25" style="50" bestFit="1" customWidth="1"/>
    <col min="8" max="8" width="24.875" style="50" customWidth="1"/>
    <col min="9" max="9" width="34.375" style="50" bestFit="1" customWidth="1"/>
    <col min="10" max="16384" width="9" style="50"/>
  </cols>
  <sheetData>
    <row r="2" spans="2:6" ht="33.75">
      <c r="B2" s="303" t="s">
        <v>255</v>
      </c>
      <c r="C2" s="303"/>
      <c r="D2" s="303"/>
      <c r="E2" s="303"/>
      <c r="F2" s="303"/>
    </row>
    <row r="4" spans="2:6" ht="33.75">
      <c r="B4" s="304" t="s">
        <v>480</v>
      </c>
      <c r="C4" s="304"/>
      <c r="D4" s="304"/>
      <c r="E4" s="304"/>
      <c r="F4" s="304"/>
    </row>
    <row r="6" spans="2:6" s="51" customFormat="1" ht="76.5" customHeight="1">
      <c r="B6" s="88" t="s">
        <v>0</v>
      </c>
      <c r="C6" s="156"/>
      <c r="D6" s="143" t="s">
        <v>482</v>
      </c>
      <c r="E6" s="157"/>
      <c r="F6" s="143" t="s">
        <v>481</v>
      </c>
    </row>
    <row r="7" spans="2:6">
      <c r="B7" s="60"/>
      <c r="C7" s="158"/>
      <c r="D7" s="52"/>
      <c r="E7" s="52"/>
      <c r="F7" s="52"/>
    </row>
    <row r="8" spans="2:6" ht="33.75">
      <c r="B8" s="61" t="s">
        <v>186</v>
      </c>
      <c r="C8" s="159"/>
      <c r="D8" s="160"/>
      <c r="E8" s="160"/>
      <c r="F8" s="52"/>
    </row>
    <row r="9" spans="2:6" hidden="1">
      <c r="B9" s="60" t="s">
        <v>53</v>
      </c>
      <c r="C9" s="158"/>
      <c r="D9" s="52"/>
      <c r="E9" s="52"/>
      <c r="F9" s="52"/>
    </row>
    <row r="10" spans="2:6" hidden="1">
      <c r="B10" s="60" t="s">
        <v>50</v>
      </c>
      <c r="C10" s="158"/>
      <c r="D10" s="52">
        <f>+F10</f>
        <v>1500000000</v>
      </c>
      <c r="E10" s="52"/>
      <c r="F10" s="53">
        <v>1500000000</v>
      </c>
    </row>
    <row r="11" spans="2:6">
      <c r="B11" s="60"/>
      <c r="C11" s="158"/>
      <c r="D11" s="52"/>
      <c r="E11" s="52"/>
      <c r="F11" s="52"/>
    </row>
    <row r="12" spans="2:6">
      <c r="B12" s="62" t="s">
        <v>52</v>
      </c>
      <c r="C12" s="158"/>
      <c r="D12" s="52"/>
      <c r="E12" s="52"/>
      <c r="F12" s="52"/>
    </row>
    <row r="13" spans="2:6">
      <c r="B13" s="154" t="s">
        <v>506</v>
      </c>
      <c r="C13" s="161"/>
      <c r="D13" s="266">
        <f>+D22</f>
        <v>4451152300</v>
      </c>
      <c r="E13" s="52"/>
      <c r="F13" s="266">
        <v>4189432500</v>
      </c>
    </row>
    <row r="14" spans="2:6">
      <c r="B14" s="154"/>
      <c r="C14" s="161"/>
      <c r="D14" s="162"/>
      <c r="E14" s="52"/>
      <c r="F14" s="162"/>
    </row>
    <row r="15" spans="2:6">
      <c r="B15" s="155" t="s">
        <v>51</v>
      </c>
      <c r="C15" s="161"/>
      <c r="D15" s="162"/>
      <c r="E15" s="52"/>
      <c r="F15" s="162"/>
    </row>
    <row r="16" spans="2:6">
      <c r="B16" s="154" t="s">
        <v>507</v>
      </c>
      <c r="C16" s="161"/>
      <c r="D16" s="266">
        <f>+'SC-Reco'!O7</f>
        <v>3848300000</v>
      </c>
      <c r="E16" s="53"/>
      <c r="F16" s="266">
        <v>3718300000</v>
      </c>
    </row>
    <row r="17" spans="2:7">
      <c r="B17" s="154" t="s">
        <v>461</v>
      </c>
      <c r="C17" s="161"/>
      <c r="D17" s="267">
        <f>+'SC-Reco'!O8</f>
        <v>0</v>
      </c>
      <c r="E17" s="53"/>
      <c r="F17" s="267">
        <v>0</v>
      </c>
    </row>
    <row r="18" spans="2:7" hidden="1">
      <c r="B18" s="154" t="s">
        <v>458</v>
      </c>
      <c r="C18" s="161"/>
      <c r="D18" s="266"/>
      <c r="E18" s="53"/>
      <c r="F18" s="266"/>
      <c r="G18" s="50">
        <f>+F18+F19+F20+F21</f>
        <v>471132500</v>
      </c>
    </row>
    <row r="19" spans="2:7" hidden="1">
      <c r="B19" s="154" t="s">
        <v>459</v>
      </c>
      <c r="C19" s="161"/>
      <c r="D19" s="266"/>
      <c r="E19" s="53"/>
      <c r="F19" s="266"/>
    </row>
    <row r="20" spans="2:7" hidden="1">
      <c r="B20" s="154" t="s">
        <v>460</v>
      </c>
      <c r="C20" s="161"/>
      <c r="D20" s="266"/>
      <c r="E20" s="53"/>
      <c r="F20" s="266"/>
    </row>
    <row r="21" spans="2:7">
      <c r="B21" s="154" t="s">
        <v>508</v>
      </c>
      <c r="C21" s="161"/>
      <c r="D21" s="266">
        <f>+'SC-Reco'!O9</f>
        <v>602852300</v>
      </c>
      <c r="E21" s="53"/>
      <c r="F21" s="266">
        <v>471132500</v>
      </c>
    </row>
    <row r="22" spans="2:7" ht="34.5" thickBot="1">
      <c r="B22" s="60"/>
      <c r="C22" s="158"/>
      <c r="D22" s="270">
        <f>+SUM(D16:D21)</f>
        <v>4451152300</v>
      </c>
      <c r="E22" s="52"/>
      <c r="F22" s="270">
        <v>4189432500</v>
      </c>
    </row>
    <row r="23" spans="2:7" ht="33.75" thickTop="1">
      <c r="B23" s="60"/>
      <c r="C23" s="158"/>
      <c r="D23" s="52"/>
      <c r="E23" s="52"/>
      <c r="F23" s="52"/>
    </row>
    <row r="24" spans="2:7">
      <c r="B24" s="60"/>
      <c r="C24" s="158"/>
      <c r="D24" s="52"/>
      <c r="E24" s="52"/>
      <c r="F24" s="52"/>
    </row>
    <row r="25" spans="2:7" ht="33.75">
      <c r="B25" s="61" t="s">
        <v>187</v>
      </c>
      <c r="C25" s="159"/>
      <c r="D25" s="160"/>
      <c r="E25" s="160"/>
      <c r="F25" s="52"/>
    </row>
    <row r="26" spans="2:7">
      <c r="B26" s="60" t="s">
        <v>54</v>
      </c>
      <c r="C26" s="158"/>
      <c r="D26" s="266">
        <f>+'Draft-BS'!C20</f>
        <v>5046178825.75</v>
      </c>
      <c r="E26" s="52"/>
      <c r="F26" s="266">
        <v>4498992481.9200001</v>
      </c>
    </row>
    <row r="27" spans="2:7">
      <c r="B27" s="60"/>
      <c r="C27" s="158"/>
      <c r="D27" s="52"/>
      <c r="E27" s="52"/>
      <c r="F27" s="52"/>
    </row>
    <row r="28" spans="2:7">
      <c r="B28" s="62" t="s">
        <v>83</v>
      </c>
      <c r="C28" s="163"/>
      <c r="D28" s="164"/>
      <c r="E28" s="52"/>
      <c r="F28" s="52"/>
    </row>
    <row r="29" spans="2:7">
      <c r="B29" s="60" t="s">
        <v>84</v>
      </c>
      <c r="C29" s="266">
        <f>+'Draft-BS'!C22</f>
        <v>496139978.39999998</v>
      </c>
      <c r="D29" s="52"/>
      <c r="E29" s="266">
        <v>479744753.39999998</v>
      </c>
      <c r="F29" s="52"/>
    </row>
    <row r="30" spans="2:7">
      <c r="B30" s="60" t="s">
        <v>85</v>
      </c>
      <c r="C30" s="268">
        <f>+'Draft-BS'!C23</f>
        <v>77306000</v>
      </c>
      <c r="D30" s="266">
        <f>+SUM(C29:C30)</f>
        <v>573445978.39999998</v>
      </c>
      <c r="E30" s="268">
        <v>77306000</v>
      </c>
      <c r="F30" s="266">
        <v>557050753.39999998</v>
      </c>
    </row>
    <row r="31" spans="2:7">
      <c r="B31" s="60"/>
      <c r="C31" s="158"/>
      <c r="D31" s="52"/>
      <c r="E31" s="52"/>
      <c r="F31" s="52"/>
    </row>
    <row r="32" spans="2:7">
      <c r="B32" s="63" t="s">
        <v>86</v>
      </c>
      <c r="C32" s="165"/>
      <c r="D32" s="166"/>
      <c r="E32" s="52"/>
      <c r="F32" s="52"/>
    </row>
    <row r="33" spans="2:6">
      <c r="B33" s="64" t="s">
        <v>55</v>
      </c>
      <c r="C33" s="167"/>
      <c r="D33" s="266">
        <f>+'Draft-BS'!C27</f>
        <v>190788080.86000001</v>
      </c>
      <c r="E33" s="54"/>
      <c r="F33" s="266">
        <v>190074388.86000001</v>
      </c>
    </row>
    <row r="34" spans="2:6">
      <c r="B34" s="64" t="s">
        <v>56</v>
      </c>
      <c r="C34" s="167"/>
      <c r="D34" s="266">
        <f>+'Draft-BS'!C28</f>
        <v>20527383.969999999</v>
      </c>
      <c r="E34" s="54"/>
      <c r="F34" s="266">
        <v>20384645.969999999</v>
      </c>
    </row>
    <row r="35" spans="2:6">
      <c r="B35" s="64" t="s">
        <v>57</v>
      </c>
      <c r="C35" s="167"/>
      <c r="D35" s="266">
        <f>+'Draft-BS'!C29</f>
        <v>532556354.93000001</v>
      </c>
      <c r="E35" s="54"/>
      <c r="F35" s="266">
        <v>381485817.93000001</v>
      </c>
    </row>
    <row r="36" spans="2:6">
      <c r="B36" s="64" t="s">
        <v>58</v>
      </c>
      <c r="C36" s="167"/>
      <c r="D36" s="266">
        <f>+'Draft-BS'!C30</f>
        <v>121589726.55</v>
      </c>
      <c r="E36" s="54"/>
      <c r="F36" s="266">
        <v>141589726.55000001</v>
      </c>
    </row>
    <row r="37" spans="2:6">
      <c r="B37" s="64" t="s">
        <v>59</v>
      </c>
      <c r="C37" s="167"/>
      <c r="D37" s="266">
        <f>+'Draft-BS'!C24</f>
        <v>71491850.260000005</v>
      </c>
      <c r="E37" s="54"/>
      <c r="F37" s="266">
        <v>63291850.259999998</v>
      </c>
    </row>
    <row r="38" spans="2:6">
      <c r="B38" s="64" t="s">
        <v>60</v>
      </c>
      <c r="C38" s="167"/>
      <c r="D38" s="271">
        <f>+'Draft-BS'!C32</f>
        <v>2955148.37</v>
      </c>
      <c r="E38" s="54"/>
      <c r="F38" s="271">
        <v>2955148.37</v>
      </c>
    </row>
    <row r="39" spans="2:6">
      <c r="B39" s="64" t="s">
        <v>61</v>
      </c>
      <c r="C39" s="167"/>
      <c r="D39" s="271">
        <f>+'Draft-BS'!C34</f>
        <v>5456117.8099999996</v>
      </c>
      <c r="E39" s="54"/>
      <c r="F39" s="271">
        <v>4385580.8099999996</v>
      </c>
    </row>
    <row r="40" spans="2:6">
      <c r="B40" s="64" t="s">
        <v>62</v>
      </c>
      <c r="C40" s="167"/>
      <c r="D40" s="271">
        <f>+'Draft-BS'!C35</f>
        <v>2305568.73</v>
      </c>
      <c r="E40" s="54"/>
      <c r="F40" s="271">
        <v>2327723.73</v>
      </c>
    </row>
    <row r="41" spans="2:6">
      <c r="B41" s="64" t="s">
        <v>63</v>
      </c>
      <c r="C41" s="167"/>
      <c r="D41" s="271">
        <f>+'Draft-BS'!C36</f>
        <v>1116437</v>
      </c>
      <c r="E41" s="54"/>
      <c r="F41" s="271">
        <v>1116437</v>
      </c>
    </row>
    <row r="42" spans="2:6">
      <c r="B42" s="64" t="s">
        <v>64</v>
      </c>
      <c r="C42" s="167"/>
      <c r="D42" s="266">
        <f>+'Draft-BS'!C33</f>
        <v>16143821.960000001</v>
      </c>
      <c r="E42" s="54"/>
      <c r="F42" s="266">
        <v>16678284.960000001</v>
      </c>
    </row>
    <row r="43" spans="2:6">
      <c r="B43" s="64" t="s">
        <v>65</v>
      </c>
      <c r="C43" s="167"/>
      <c r="D43" s="267">
        <v>0</v>
      </c>
      <c r="E43" s="54"/>
      <c r="F43" s="266">
        <v>27500000</v>
      </c>
    </row>
    <row r="44" spans="2:6">
      <c r="B44" s="64" t="s">
        <v>66</v>
      </c>
      <c r="C44" s="167"/>
      <c r="D44" s="266">
        <f>+'Draft-BS'!C106</f>
        <v>76320262.549999997</v>
      </c>
      <c r="E44" s="54"/>
      <c r="F44" s="266">
        <v>106320262.55</v>
      </c>
    </row>
    <row r="45" spans="2:6">
      <c r="B45" s="64" t="s">
        <v>67</v>
      </c>
      <c r="C45" s="167"/>
      <c r="D45" s="271">
        <f>+'Draft-BS'!C38</f>
        <v>5786000</v>
      </c>
      <c r="E45" s="54"/>
      <c r="F45" s="271">
        <v>5786000</v>
      </c>
    </row>
    <row r="46" spans="2:6">
      <c r="B46" s="64" t="s">
        <v>68</v>
      </c>
      <c r="C46" s="167"/>
      <c r="D46" s="266">
        <f>+'Draft-BS'!C37</f>
        <v>20704054.280000001</v>
      </c>
      <c r="E46" s="54"/>
      <c r="F46" s="266">
        <v>20704054.280000001</v>
      </c>
    </row>
    <row r="47" spans="2:6">
      <c r="B47" s="64" t="s">
        <v>69</v>
      </c>
      <c r="C47" s="167"/>
      <c r="D47" s="271">
        <f>+'Draft-BS'!C39</f>
        <v>2830000</v>
      </c>
      <c r="E47" s="54"/>
      <c r="F47" s="271">
        <v>2830000</v>
      </c>
    </row>
    <row r="48" spans="2:6">
      <c r="B48" s="64" t="s">
        <v>70</v>
      </c>
      <c r="C48" s="167"/>
      <c r="D48" s="266">
        <f>+'Draft-BS'!C42</f>
        <v>18824798.02</v>
      </c>
      <c r="E48" s="54"/>
      <c r="F48" s="266">
        <v>18909106.02</v>
      </c>
    </row>
    <row r="49" spans="2:8">
      <c r="B49" s="64" t="s">
        <v>509</v>
      </c>
      <c r="C49" s="167"/>
      <c r="D49" s="271">
        <f>+'Draft-BS'!C40</f>
        <v>5000000</v>
      </c>
      <c r="E49" s="54"/>
      <c r="F49" s="267">
        <v>0</v>
      </c>
    </row>
    <row r="50" spans="2:8">
      <c r="B50" s="64" t="s">
        <v>73</v>
      </c>
      <c r="C50" s="167"/>
      <c r="D50" s="266">
        <f>+'Draft-BS'!C31</f>
        <v>90329451.659999996</v>
      </c>
      <c r="E50" s="54"/>
      <c r="F50" s="266">
        <v>70186713.659999996</v>
      </c>
    </row>
    <row r="51" spans="2:8">
      <c r="B51" s="64" t="s">
        <v>71</v>
      </c>
      <c r="C51" s="167"/>
      <c r="D51" s="266">
        <f>+'Draft-BS'!C43</f>
        <v>605162032.25999999</v>
      </c>
      <c r="E51" s="54"/>
      <c r="F51" s="266">
        <v>864517188.25999999</v>
      </c>
    </row>
    <row r="52" spans="2:8">
      <c r="B52" s="64" t="s">
        <v>72</v>
      </c>
      <c r="C52" s="167"/>
      <c r="D52" s="266">
        <f>+'Draft-BS'!C44</f>
        <v>101750560</v>
      </c>
      <c r="E52" s="54"/>
      <c r="F52" s="266">
        <v>116286355</v>
      </c>
    </row>
    <row r="53" spans="2:8">
      <c r="B53" s="89" t="s">
        <v>523</v>
      </c>
      <c r="C53" s="167"/>
      <c r="D53" s="266">
        <f>+'Draft-BS'!C26</f>
        <v>50000000</v>
      </c>
      <c r="E53" s="54"/>
      <c r="F53" s="266">
        <v>10000000</v>
      </c>
    </row>
    <row r="54" spans="2:8" ht="34.5" thickBot="1">
      <c r="B54" s="64"/>
      <c r="C54" s="167"/>
      <c r="D54" s="270">
        <f>+SUM(D33:D53)+D30+D26+1</f>
        <v>7561262454.3600006</v>
      </c>
      <c r="E54" s="54"/>
      <c r="F54" s="270">
        <f>+SUM(F33:F53)+F30+F26</f>
        <v>7123372519.5299997</v>
      </c>
    </row>
    <row r="55" spans="2:8" ht="33.75" thickTop="1">
      <c r="B55" s="64"/>
      <c r="C55" s="167"/>
      <c r="D55" s="54"/>
      <c r="E55" s="54"/>
      <c r="F55" s="54"/>
    </row>
    <row r="56" spans="2:8" ht="33.75">
      <c r="B56" s="65" t="s">
        <v>74</v>
      </c>
      <c r="C56" s="168"/>
      <c r="D56" s="169"/>
      <c r="E56" s="169"/>
      <c r="F56" s="54"/>
    </row>
    <row r="57" spans="2:8">
      <c r="B57" s="63" t="s">
        <v>75</v>
      </c>
      <c r="C57" s="165"/>
      <c r="D57" s="166"/>
      <c r="E57" s="166"/>
      <c r="F57" s="54"/>
    </row>
    <row r="58" spans="2:8">
      <c r="B58" s="64" t="s">
        <v>76</v>
      </c>
      <c r="C58" s="266">
        <f>+'Draft-BS'!C48+'Draft-BS'!C67+'Draft-BS'!C72+'Draft-BS'!C75+'Draft-BS'!C74+'Draft-BS'!C73+'Draft-BS'!C77</f>
        <v>36884043060.709999</v>
      </c>
      <c r="D58" s="54"/>
      <c r="E58" s="266">
        <v>18901682928.650005</v>
      </c>
      <c r="F58" s="54"/>
    </row>
    <row r="59" spans="2:8">
      <c r="B59" s="64" t="s">
        <v>77</v>
      </c>
      <c r="C59" s="266">
        <f>+'Draft-BS'!C49+'Draft-BS'!C63+'Draft-BS'!C68+'Draft-BS'!C76</f>
        <v>8836868415.7600002</v>
      </c>
      <c r="D59" s="54"/>
      <c r="E59" s="266">
        <v>8020120899.5499992</v>
      </c>
      <c r="F59" s="54"/>
    </row>
    <row r="60" spans="2:8">
      <c r="B60" s="64" t="s">
        <v>78</v>
      </c>
      <c r="C60" s="266">
        <f>+'Draft-BS'!C50+'Draft-BS'!C64+'Draft-BS'!C69</f>
        <v>13041518692.689999</v>
      </c>
      <c r="D60" s="54"/>
      <c r="E60" s="266">
        <v>13895070896.08</v>
      </c>
      <c r="F60" s="54"/>
    </row>
    <row r="61" spans="2:8">
      <c r="B61" s="64" t="s">
        <v>79</v>
      </c>
      <c r="C61" s="268">
        <f>+'Draft-BS'!C51+'Draft-BS'!C65+'Draft-BS'!C70</f>
        <v>20016393063.75</v>
      </c>
      <c r="D61" s="266">
        <f>+SUM(C58:C61)+1</f>
        <v>78778823233.910004</v>
      </c>
      <c r="E61" s="268">
        <v>21898866797.75</v>
      </c>
      <c r="F61" s="266">
        <f>+SUM(E58:E61)</f>
        <v>62715741522.030006</v>
      </c>
      <c r="G61" s="50">
        <f>+F61/10000000</f>
        <v>6271.5741522030003</v>
      </c>
      <c r="H61" s="50">
        <v>4664.17</v>
      </c>
    </row>
    <row r="62" spans="2:8">
      <c r="B62" s="64"/>
      <c r="C62" s="167"/>
      <c r="D62" s="54"/>
      <c r="E62" s="167"/>
      <c r="F62" s="54"/>
      <c r="H62" s="50">
        <v>630.54999999999995</v>
      </c>
    </row>
    <row r="63" spans="2:8">
      <c r="B63" s="63" t="s">
        <v>80</v>
      </c>
      <c r="C63" s="165"/>
      <c r="D63" s="166"/>
      <c r="E63" s="165"/>
      <c r="F63" s="54"/>
      <c r="H63" s="50">
        <v>1004.55</v>
      </c>
    </row>
    <row r="64" spans="2:8">
      <c r="B64" s="64" t="s">
        <v>76</v>
      </c>
      <c r="C64" s="266">
        <f>+'Draft-BS'!C53</f>
        <v>5561114583.3800001</v>
      </c>
      <c r="D64" s="54"/>
      <c r="E64" s="266">
        <v>5185778709.9399996</v>
      </c>
      <c r="F64" s="54"/>
      <c r="H64" s="50">
        <f>SUM(H61:H63)</f>
        <v>6299.27</v>
      </c>
    </row>
    <row r="65" spans="2:8">
      <c r="B65" s="64" t="s">
        <v>77</v>
      </c>
      <c r="C65" s="266">
        <f>+'Draft-BS'!C54</f>
        <v>473254118.82999998</v>
      </c>
      <c r="D65" s="54"/>
      <c r="E65" s="266">
        <v>530677258.18000001</v>
      </c>
      <c r="F65" s="54"/>
      <c r="H65" s="50">
        <f>+G61-H64</f>
        <v>-27.69584779700017</v>
      </c>
    </row>
    <row r="66" spans="2:8">
      <c r="B66" s="64" t="s">
        <v>78</v>
      </c>
      <c r="C66" s="273">
        <f>+'Draft-BS'!C55</f>
        <v>868304.15</v>
      </c>
      <c r="D66" s="266">
        <f>+SUM(C64:C66)</f>
        <v>6035237006.3599997</v>
      </c>
      <c r="E66" s="273">
        <v>5230782.1500000004</v>
      </c>
      <c r="F66" s="266">
        <f>+SUM(E64:E66)</f>
        <v>5721686750.2699995</v>
      </c>
    </row>
    <row r="67" spans="2:8">
      <c r="B67" s="64"/>
      <c r="C67" s="167"/>
      <c r="D67" s="54"/>
      <c r="E67" s="167"/>
      <c r="F67" s="54"/>
    </row>
    <row r="68" spans="2:8">
      <c r="B68" s="63" t="s">
        <v>81</v>
      </c>
      <c r="C68" s="165"/>
      <c r="D68" s="166"/>
      <c r="E68" s="165"/>
      <c r="F68" s="54"/>
    </row>
    <row r="69" spans="2:8">
      <c r="B69" s="64" t="s">
        <v>76</v>
      </c>
      <c r="C69" s="266">
        <f>+'Draft-BS'!C57</f>
        <v>610702394.28999996</v>
      </c>
      <c r="D69" s="54"/>
      <c r="E69" s="266">
        <v>537898552.99000001</v>
      </c>
      <c r="F69" s="54"/>
    </row>
    <row r="70" spans="2:8">
      <c r="B70" s="64" t="s">
        <v>77</v>
      </c>
      <c r="C70" s="266">
        <f>+'Draft-BS'!C58</f>
        <v>228295153.09999999</v>
      </c>
      <c r="D70" s="54"/>
      <c r="E70" s="266">
        <v>267729213.44</v>
      </c>
      <c r="F70" s="54"/>
    </row>
    <row r="71" spans="2:8">
      <c r="B71" s="64" t="s">
        <v>78</v>
      </c>
      <c r="C71" s="266">
        <f>+'Draft-BS'!C59</f>
        <v>1333983358.3900001</v>
      </c>
      <c r="D71" s="54"/>
      <c r="E71" s="266">
        <v>1725417312.99</v>
      </c>
      <c r="F71" s="54"/>
    </row>
    <row r="72" spans="2:8">
      <c r="B72" s="64" t="s">
        <v>79</v>
      </c>
      <c r="C72" s="266">
        <f>+'Draft-BS'!C60</f>
        <v>4523944510.4200001</v>
      </c>
      <c r="D72" s="54"/>
      <c r="E72" s="266">
        <v>2665463487.2199998</v>
      </c>
      <c r="F72" s="54"/>
    </row>
    <row r="73" spans="2:8">
      <c r="B73" s="64" t="s">
        <v>82</v>
      </c>
      <c r="C73" s="273">
        <f>+'Draft-BS'!C61</f>
        <v>3249457.02</v>
      </c>
      <c r="D73" s="266">
        <f>+SUM(C69:C73)-1</f>
        <v>6700174872.2200012</v>
      </c>
      <c r="E73" s="273">
        <v>4011765.08</v>
      </c>
      <c r="F73" s="266">
        <f>+SUM(E69:E73)</f>
        <v>5200520331.7199993</v>
      </c>
    </row>
    <row r="74" spans="2:8">
      <c r="B74" s="64"/>
      <c r="C74" s="167"/>
      <c r="D74" s="54"/>
      <c r="E74" s="54"/>
      <c r="F74" s="54"/>
    </row>
    <row r="75" spans="2:8" ht="34.5" thickBot="1">
      <c r="B75" s="64"/>
      <c r="C75" s="167"/>
      <c r="D75" s="270">
        <f>+SUM(D61:D73)</f>
        <v>91514235112.490005</v>
      </c>
      <c r="E75" s="54"/>
      <c r="F75" s="270">
        <f>+SUM(F61:F73)</f>
        <v>73637948604.020004</v>
      </c>
    </row>
    <row r="76" spans="2:8" ht="33.75" thickTop="1">
      <c r="B76" s="66"/>
      <c r="C76" s="170"/>
      <c r="D76" s="55"/>
      <c r="E76" s="55"/>
      <c r="F76" s="55"/>
    </row>
    <row r="77" spans="2:8" ht="33.75">
      <c r="B77" s="67" t="s">
        <v>87</v>
      </c>
      <c r="C77" s="171"/>
      <c r="D77" s="172"/>
      <c r="E77" s="56"/>
      <c r="F77" s="56"/>
    </row>
    <row r="78" spans="2:8">
      <c r="B78" s="63" t="s">
        <v>95</v>
      </c>
      <c r="C78" s="165"/>
      <c r="D78" s="166"/>
      <c r="E78" s="54"/>
      <c r="F78" s="54"/>
    </row>
    <row r="79" spans="2:8">
      <c r="B79" s="64" t="s">
        <v>88</v>
      </c>
      <c r="C79" s="266">
        <f>+'Draft-BS'!C82</f>
        <v>32620000000</v>
      </c>
      <c r="D79" s="54"/>
      <c r="E79" s="266">
        <v>45160000000</v>
      </c>
      <c r="F79" s="54"/>
    </row>
    <row r="80" spans="2:8">
      <c r="B80" s="64" t="s">
        <v>89</v>
      </c>
      <c r="C80" s="266">
        <f>+'Draft-BS'!C83</f>
        <v>1120000000</v>
      </c>
      <c r="D80" s="54"/>
      <c r="E80" s="266">
        <v>1600000000</v>
      </c>
      <c r="F80" s="54"/>
    </row>
    <row r="81" spans="2:6">
      <c r="B81" s="64" t="s">
        <v>90</v>
      </c>
      <c r="C81" s="266">
        <f>+'Draft-BS'!C84</f>
        <v>760000000</v>
      </c>
      <c r="D81" s="54"/>
      <c r="E81" s="266">
        <v>1290000000</v>
      </c>
      <c r="F81" s="54"/>
    </row>
    <row r="82" spans="2:6">
      <c r="B82" s="64" t="s">
        <v>91</v>
      </c>
      <c r="C82" s="266">
        <f>+'Draft-BS'!C81</f>
        <v>22140692180</v>
      </c>
      <c r="D82" s="54"/>
      <c r="E82" s="266">
        <v>20882007727</v>
      </c>
      <c r="F82" s="54"/>
    </row>
    <row r="83" spans="2:6">
      <c r="B83" s="64" t="s">
        <v>92</v>
      </c>
      <c r="C83" s="266">
        <f>+'Draft-BS'!C85</f>
        <v>4345311188</v>
      </c>
      <c r="D83" s="54"/>
      <c r="E83" s="266">
        <v>3494458129</v>
      </c>
      <c r="F83" s="54"/>
    </row>
    <row r="84" spans="2:6">
      <c r="B84" s="64" t="s">
        <v>93</v>
      </c>
      <c r="C84" s="266">
        <f>+'Draft-BS'!C86</f>
        <v>3002453721</v>
      </c>
      <c r="D84" s="54"/>
      <c r="E84" s="266">
        <v>1751485814</v>
      </c>
      <c r="F84" s="54"/>
    </row>
    <row r="85" spans="2:6">
      <c r="B85" s="64" t="s">
        <v>94</v>
      </c>
      <c r="C85" s="268">
        <f>+'Draft-BS'!C87</f>
        <v>323792601</v>
      </c>
      <c r="D85" s="266">
        <f>+SUM(C79:C85)</f>
        <v>64312249690</v>
      </c>
      <c r="E85" s="268">
        <v>373094192</v>
      </c>
      <c r="F85" s="266">
        <f>+SUM(E79:E85)</f>
        <v>74551045862</v>
      </c>
    </row>
    <row r="86" spans="2:6">
      <c r="B86" s="64"/>
      <c r="C86" s="167"/>
      <c r="D86" s="54"/>
      <c r="E86" s="54"/>
      <c r="F86" s="54"/>
    </row>
    <row r="87" spans="2:6" ht="34.5" thickBot="1">
      <c r="B87" s="64"/>
      <c r="C87" s="167"/>
      <c r="D87" s="270">
        <f>+SUM(D85:D86)</f>
        <v>64312249690</v>
      </c>
      <c r="E87" s="169"/>
      <c r="F87" s="270">
        <f>+SUM(F85:F86)</f>
        <v>74551045862</v>
      </c>
    </row>
    <row r="88" spans="2:6" ht="33.75" thickTop="1">
      <c r="B88" s="64"/>
      <c r="C88" s="167"/>
      <c r="D88" s="54"/>
      <c r="E88" s="54"/>
      <c r="F88" s="54"/>
    </row>
    <row r="89" spans="2:6" ht="33.75">
      <c r="B89" s="65" t="s">
        <v>262</v>
      </c>
      <c r="C89" s="168"/>
      <c r="D89" s="169"/>
      <c r="E89" s="54"/>
      <c r="F89" s="54"/>
    </row>
    <row r="90" spans="2:6">
      <c r="C90" s="165"/>
      <c r="D90" s="166"/>
      <c r="E90" s="54"/>
      <c r="F90" s="54"/>
    </row>
    <row r="91" spans="2:6">
      <c r="B91" s="64" t="s">
        <v>479</v>
      </c>
      <c r="C91" s="167"/>
      <c r="D91" s="266">
        <f>+'Draft-BS'!D91</f>
        <v>17500000</v>
      </c>
      <c r="E91" s="54"/>
      <c r="F91" s="266">
        <v>20000000</v>
      </c>
    </row>
    <row r="92" spans="2:6">
      <c r="B92" s="64" t="s">
        <v>478</v>
      </c>
      <c r="C92" s="167"/>
      <c r="D92" s="267">
        <v>0</v>
      </c>
      <c r="E92" s="54"/>
      <c r="F92" s="266">
        <v>11287964.449999999</v>
      </c>
    </row>
    <row r="93" spans="2:6">
      <c r="B93" s="64" t="s">
        <v>96</v>
      </c>
      <c r="C93" s="167"/>
      <c r="D93" s="266">
        <f>+'Draft-BS'!C101</f>
        <v>67580149.400000006</v>
      </c>
      <c r="E93" s="54"/>
      <c r="F93" s="266">
        <v>77016175.879999995</v>
      </c>
    </row>
    <row r="94" spans="2:6">
      <c r="B94" s="64" t="s">
        <v>97</v>
      </c>
      <c r="C94" s="167"/>
      <c r="D94" s="266">
        <f>+'Draft-BS'!C102</f>
        <v>139375406.5</v>
      </c>
      <c r="E94" s="54"/>
      <c r="F94" s="266">
        <v>209290718.09999999</v>
      </c>
    </row>
    <row r="95" spans="2:6">
      <c r="B95" s="64" t="s">
        <v>98</v>
      </c>
      <c r="C95" s="167"/>
      <c r="D95" s="267">
        <f>+'Draft-BS'!C103</f>
        <v>0</v>
      </c>
      <c r="E95" s="54"/>
      <c r="F95" s="271">
        <v>894353.84</v>
      </c>
    </row>
    <row r="96" spans="2:6">
      <c r="B96" s="64" t="s">
        <v>37</v>
      </c>
      <c r="C96" s="167"/>
      <c r="D96" s="266">
        <f>+'Draft-BS'!C104</f>
        <v>53174133.359999999</v>
      </c>
      <c r="E96" s="54"/>
      <c r="F96" s="266">
        <v>39048950.75</v>
      </c>
    </row>
    <row r="97" spans="2:6">
      <c r="B97" s="64" t="s">
        <v>99</v>
      </c>
      <c r="C97" s="167"/>
      <c r="D97" s="271">
        <f>+'Draft-BS'!C105</f>
        <v>5000000</v>
      </c>
      <c r="E97" s="54"/>
      <c r="F97" s="271">
        <v>5000000</v>
      </c>
    </row>
    <row r="98" spans="2:6">
      <c r="B98" s="64" t="s">
        <v>100</v>
      </c>
      <c r="C98" s="167"/>
      <c r="D98" s="271">
        <f>+'Draft-BS'!C115</f>
        <v>6900131</v>
      </c>
      <c r="E98" s="54"/>
      <c r="F98" s="271">
        <v>6073146</v>
      </c>
    </row>
    <row r="99" spans="2:6">
      <c r="B99" s="64" t="s">
        <v>101</v>
      </c>
      <c r="C99" s="167"/>
      <c r="D99" s="266">
        <f>+'Draft-BS'!C107</f>
        <v>55428445.380000003</v>
      </c>
      <c r="E99" s="54"/>
      <c r="F99" s="266">
        <v>55428445.380000003</v>
      </c>
    </row>
    <row r="100" spans="2:6">
      <c r="B100" s="64" t="s">
        <v>102</v>
      </c>
      <c r="C100" s="167"/>
      <c r="D100" s="271">
        <f>+'Draft-BS'!C116</f>
        <v>6002708.4100000001</v>
      </c>
      <c r="E100" s="54"/>
      <c r="F100" s="271">
        <v>775915.83</v>
      </c>
    </row>
    <row r="101" spans="2:6">
      <c r="B101" s="64" t="s">
        <v>39</v>
      </c>
      <c r="C101" s="167"/>
      <c r="D101" s="267">
        <v>0</v>
      </c>
      <c r="E101" s="54"/>
      <c r="F101" s="266">
        <v>88400000</v>
      </c>
    </row>
    <row r="102" spans="2:6">
      <c r="B102" s="64" t="s">
        <v>103</v>
      </c>
      <c r="C102" s="167"/>
      <c r="D102" s="266">
        <f>+'Draft-BS'!C110</f>
        <v>1022466400</v>
      </c>
      <c r="E102" s="54"/>
      <c r="F102" s="266">
        <v>680366400</v>
      </c>
    </row>
    <row r="103" spans="2:6">
      <c r="B103" s="68" t="s">
        <v>104</v>
      </c>
      <c r="C103" s="173"/>
      <c r="D103" s="266">
        <f>+'Draft-BS'!C109</f>
        <v>27445654</v>
      </c>
      <c r="E103" s="57"/>
      <c r="F103" s="266">
        <v>17438483</v>
      </c>
    </row>
    <row r="104" spans="2:6">
      <c r="B104" s="68" t="s">
        <v>107</v>
      </c>
      <c r="C104" s="173"/>
      <c r="D104" s="266">
        <f>+'Draft-BS'!C111</f>
        <v>350635354.77999997</v>
      </c>
      <c r="E104" s="57"/>
      <c r="F104" s="266">
        <v>329085354.77999997</v>
      </c>
    </row>
    <row r="105" spans="2:6">
      <c r="B105" s="68" t="s">
        <v>500</v>
      </c>
      <c r="C105" s="173"/>
      <c r="D105" s="271">
        <f>'Draft-BS'!C108</f>
        <v>9177643</v>
      </c>
      <c r="E105" s="57"/>
      <c r="F105" s="267">
        <v>0</v>
      </c>
    </row>
    <row r="106" spans="2:6">
      <c r="B106" s="68" t="s">
        <v>38</v>
      </c>
      <c r="C106" s="173"/>
      <c r="D106" s="266">
        <f>+'Draft-BS'!C112</f>
        <v>17331455.68</v>
      </c>
      <c r="E106" s="57"/>
      <c r="F106" s="266">
        <v>16331455.68</v>
      </c>
    </row>
    <row r="107" spans="2:6">
      <c r="B107" s="68" t="s">
        <v>105</v>
      </c>
      <c r="C107" s="173"/>
      <c r="D107" s="271">
        <f>+'Draft-BS'!C113</f>
        <v>688735</v>
      </c>
      <c r="E107" s="57"/>
      <c r="F107" s="271">
        <v>688735</v>
      </c>
    </row>
    <row r="108" spans="2:6">
      <c r="B108" s="68" t="s">
        <v>106</v>
      </c>
      <c r="C108" s="173"/>
      <c r="D108" s="266">
        <f>+'Draft-BS'!C114</f>
        <v>525250000</v>
      </c>
      <c r="E108" s="57"/>
      <c r="F108" s="266">
        <v>315000000</v>
      </c>
    </row>
    <row r="109" spans="2:6" ht="34.5" thickBot="1">
      <c r="B109" s="64"/>
      <c r="C109" s="168"/>
      <c r="D109" s="270">
        <f>+SUM(D91:D108)-1</f>
        <v>2303956215.5100002</v>
      </c>
      <c r="E109" s="54"/>
      <c r="F109" s="270">
        <f>+SUM(F91:F108)</f>
        <v>1872126098.6900001</v>
      </c>
    </row>
    <row r="110" spans="2:6" ht="33.75" thickTop="1">
      <c r="B110" s="64"/>
      <c r="C110" s="167"/>
      <c r="D110" s="54"/>
      <c r="E110" s="54"/>
      <c r="F110" s="54"/>
    </row>
    <row r="111" spans="2:6" ht="33.75">
      <c r="B111" s="65" t="s">
        <v>108</v>
      </c>
      <c r="C111" s="168"/>
      <c r="D111" s="169"/>
      <c r="E111" s="54"/>
      <c r="F111" s="54"/>
    </row>
    <row r="112" spans="2:6">
      <c r="B112" s="64" t="s">
        <v>109</v>
      </c>
      <c r="C112" s="167"/>
      <c r="D112" s="266">
        <f>+'Draft-BS'!H9</f>
        <v>360592810</v>
      </c>
      <c r="E112" s="54"/>
      <c r="F112" s="266">
        <v>572409916</v>
      </c>
    </row>
    <row r="113" spans="2:6">
      <c r="B113" s="64"/>
      <c r="C113" s="167"/>
      <c r="D113" s="54"/>
      <c r="E113" s="54"/>
      <c r="F113" s="54"/>
    </row>
    <row r="114" spans="2:6">
      <c r="B114" s="63" t="s">
        <v>115</v>
      </c>
      <c r="C114" s="165"/>
      <c r="D114" s="166"/>
      <c r="E114" s="54"/>
      <c r="F114" s="54"/>
    </row>
    <row r="115" spans="2:6">
      <c r="B115" s="64" t="s">
        <v>110</v>
      </c>
      <c r="C115" s="266">
        <f>+'Draft-BS'!H10</f>
        <v>11500560984.540001</v>
      </c>
      <c r="D115" s="54"/>
      <c r="E115" s="266">
        <v>16511373058.91</v>
      </c>
      <c r="F115" s="54"/>
    </row>
    <row r="116" spans="2:6">
      <c r="B116" s="64" t="s">
        <v>111</v>
      </c>
      <c r="C116" s="271">
        <f>+'Draft-BS'!H11</f>
        <v>456438.2</v>
      </c>
      <c r="D116" s="54"/>
      <c r="E116" s="274">
        <v>87035.199999999997</v>
      </c>
      <c r="F116" s="54"/>
    </row>
    <row r="117" spans="2:6">
      <c r="B117" s="64" t="s">
        <v>515</v>
      </c>
      <c r="C117" s="271">
        <f>+'Draft-BS'!H12</f>
        <v>4748571.7300000004</v>
      </c>
      <c r="D117" s="54"/>
      <c r="E117" s="271">
        <v>191172.25</v>
      </c>
      <c r="F117" s="54"/>
    </row>
    <row r="118" spans="2:6">
      <c r="B118" s="64" t="s">
        <v>516</v>
      </c>
      <c r="C118" s="271">
        <f>+'Draft-BS'!H16</f>
        <v>1985840</v>
      </c>
      <c r="D118" s="54"/>
      <c r="E118" s="267">
        <v>0</v>
      </c>
      <c r="F118" s="54"/>
    </row>
    <row r="119" spans="2:6">
      <c r="B119" s="64" t="s">
        <v>112</v>
      </c>
      <c r="C119" s="266">
        <f>+'Draft-BS'!H13</f>
        <v>108829009.91</v>
      </c>
      <c r="D119" s="54"/>
      <c r="E119" s="266">
        <v>54681333.229999997</v>
      </c>
      <c r="F119" s="54"/>
    </row>
    <row r="120" spans="2:6">
      <c r="B120" s="64" t="s">
        <v>113</v>
      </c>
      <c r="C120" s="271">
        <f>+'Draft-BS'!H14</f>
        <v>100000</v>
      </c>
      <c r="D120" s="54"/>
      <c r="E120" s="271">
        <v>100000</v>
      </c>
      <c r="F120" s="54"/>
    </row>
    <row r="121" spans="2:6">
      <c r="B121" s="64" t="s">
        <v>114</v>
      </c>
      <c r="C121" s="273">
        <f>+'Draft-BS'!H15</f>
        <v>4163018</v>
      </c>
      <c r="D121" s="266">
        <f>+SUM(C115:C121)+1</f>
        <v>11620843863.380001</v>
      </c>
      <c r="E121" s="273">
        <v>34163365</v>
      </c>
      <c r="F121" s="266">
        <v>16600595964.59</v>
      </c>
    </row>
    <row r="122" spans="2:6">
      <c r="B122" s="64"/>
      <c r="C122" s="167"/>
      <c r="D122" s="54"/>
      <c r="E122" s="54"/>
      <c r="F122" s="54"/>
    </row>
    <row r="123" spans="2:6" ht="34.5" thickBot="1">
      <c r="B123" s="64"/>
      <c r="C123" s="167"/>
      <c r="D123" s="270">
        <f>+SUM(D112:D121)</f>
        <v>11981436673.380001</v>
      </c>
      <c r="E123" s="54"/>
      <c r="F123" s="270">
        <f>+SUM(F112:F121)</f>
        <v>17173005880.59</v>
      </c>
    </row>
    <row r="124" spans="2:6" ht="33.75" thickTop="1">
      <c r="B124" s="64"/>
      <c r="C124" s="167"/>
      <c r="D124" s="54"/>
      <c r="E124" s="54"/>
      <c r="F124" s="54"/>
    </row>
    <row r="125" spans="2:6" ht="33.75">
      <c r="B125" s="65" t="s">
        <v>116</v>
      </c>
      <c r="C125" s="168"/>
      <c r="D125" s="169"/>
      <c r="E125" s="54"/>
      <c r="F125" s="54"/>
    </row>
    <row r="126" spans="2:6">
      <c r="B126" s="63" t="s">
        <v>119</v>
      </c>
      <c r="C126" s="165"/>
      <c r="D126" s="166"/>
      <c r="E126" s="54" t="s">
        <v>2</v>
      </c>
      <c r="F126" s="54"/>
    </row>
    <row r="127" spans="2:6">
      <c r="B127" s="64" t="s">
        <v>117</v>
      </c>
      <c r="C127" s="266">
        <f>+'Draft-BS'!H22</f>
        <v>10965122293</v>
      </c>
      <c r="D127" s="266">
        <f>+C127</f>
        <v>10965122293</v>
      </c>
      <c r="E127" s="266">
        <v>12200066553</v>
      </c>
      <c r="F127" s="54">
        <v>12200066553</v>
      </c>
    </row>
    <row r="128" spans="2:6">
      <c r="B128" s="64" t="s">
        <v>118</v>
      </c>
      <c r="C128" s="268">
        <f>+'Draft-BS'!H23</f>
        <v>11174570000</v>
      </c>
      <c r="D128" s="54"/>
      <c r="E128" s="268">
        <v>12402130000</v>
      </c>
      <c r="F128" s="54"/>
    </row>
    <row r="129" spans="2:6">
      <c r="B129" s="63" t="s">
        <v>120</v>
      </c>
      <c r="C129" s="167" t="str">
        <f>+'Draft-BS'!H24</f>
        <v xml:space="preserve"> </v>
      </c>
      <c r="D129" s="166"/>
      <c r="E129" s="167" t="s">
        <v>2</v>
      </c>
      <c r="F129" s="54"/>
    </row>
    <row r="130" spans="2:6">
      <c r="B130" s="64" t="s">
        <v>117</v>
      </c>
      <c r="C130" s="266">
        <f>+'Draft-BS'!H25</f>
        <v>16314642495.67</v>
      </c>
      <c r="D130" s="266">
        <f>+C130</f>
        <v>16314642495.67</v>
      </c>
      <c r="E130" s="266">
        <v>12968621714.559999</v>
      </c>
      <c r="F130" s="54">
        <v>12968621714.559999</v>
      </c>
    </row>
    <row r="131" spans="2:6">
      <c r="B131" s="64" t="s">
        <v>118</v>
      </c>
      <c r="C131" s="268">
        <f>+'Draft-BS'!H26</f>
        <v>15902050000</v>
      </c>
      <c r="D131" s="54"/>
      <c r="E131" s="268">
        <v>12652050000</v>
      </c>
      <c r="F131" s="54"/>
    </row>
    <row r="132" spans="2:6">
      <c r="B132" s="63" t="s">
        <v>121</v>
      </c>
      <c r="C132" s="167" t="str">
        <f>+'Draft-BS'!H27</f>
        <v xml:space="preserve"> </v>
      </c>
      <c r="D132" s="166"/>
      <c r="E132" s="167" t="s">
        <v>2</v>
      </c>
      <c r="F132" s="54"/>
    </row>
    <row r="133" spans="2:6">
      <c r="B133" s="64" t="s">
        <v>117</v>
      </c>
      <c r="C133" s="271">
        <f>+'Draft-BS'!H28</f>
        <v>151566000</v>
      </c>
      <c r="D133" s="271">
        <f>+C133</f>
        <v>151566000</v>
      </c>
      <c r="E133" s="271">
        <v>151566000</v>
      </c>
      <c r="F133" s="54">
        <v>151566000</v>
      </c>
    </row>
    <row r="134" spans="2:6">
      <c r="B134" s="64" t="s">
        <v>118</v>
      </c>
      <c r="C134" s="273">
        <f>+'Draft-BS'!H29</f>
        <v>151566000</v>
      </c>
      <c r="D134" s="54"/>
      <c r="E134" s="273">
        <v>151566000</v>
      </c>
      <c r="F134" s="54"/>
    </row>
    <row r="135" spans="2:6">
      <c r="B135" s="63" t="s">
        <v>122</v>
      </c>
      <c r="C135" s="167" t="str">
        <f>+'Draft-BS'!H30</f>
        <v xml:space="preserve"> </v>
      </c>
      <c r="D135" s="166"/>
      <c r="E135" s="167" t="s">
        <v>2</v>
      </c>
      <c r="F135" s="54"/>
    </row>
    <row r="136" spans="2:6">
      <c r="B136" s="64" t="s">
        <v>117</v>
      </c>
      <c r="C136" s="266">
        <f>+'Draft-BS'!H31</f>
        <v>6715675000</v>
      </c>
      <c r="D136" s="266">
        <f>+C136</f>
        <v>6715675000</v>
      </c>
      <c r="E136" s="266">
        <v>7114575000</v>
      </c>
      <c r="F136" s="54">
        <v>7114575000</v>
      </c>
    </row>
    <row r="137" spans="2:6">
      <c r="B137" s="64" t="s">
        <v>118</v>
      </c>
      <c r="C137" s="268">
        <f>+'Draft-BS'!H32</f>
        <v>6580000000</v>
      </c>
      <c r="D137" s="54"/>
      <c r="E137" s="266">
        <v>6980000000</v>
      </c>
      <c r="F137" s="54"/>
    </row>
    <row r="138" spans="2:6">
      <c r="B138" s="64"/>
      <c r="C138" s="167"/>
      <c r="D138" s="54"/>
      <c r="E138" s="54"/>
      <c r="F138" s="54"/>
    </row>
    <row r="139" spans="2:6" ht="34.5" thickBot="1">
      <c r="B139" s="64"/>
      <c r="C139" s="167"/>
      <c r="D139" s="270">
        <f>+SUM(D127:D137)</f>
        <v>34147005788.669998</v>
      </c>
      <c r="E139" s="54"/>
      <c r="F139" s="270">
        <f>+SUM(F127:F137)</f>
        <v>32434829267.559998</v>
      </c>
    </row>
    <row r="140" spans="2:6" ht="33.75" thickTop="1">
      <c r="B140" s="66"/>
      <c r="C140" s="170"/>
      <c r="D140" s="55"/>
      <c r="E140" s="55"/>
      <c r="F140" s="55"/>
    </row>
    <row r="141" spans="2:6" ht="33.75">
      <c r="B141" s="69" t="s">
        <v>123</v>
      </c>
      <c r="C141" s="174"/>
      <c r="D141" s="175"/>
      <c r="E141" s="56"/>
      <c r="F141" s="56"/>
    </row>
    <row r="142" spans="2:6">
      <c r="B142" s="63" t="s">
        <v>138</v>
      </c>
      <c r="C142" s="165"/>
      <c r="D142" s="166"/>
      <c r="E142" s="54"/>
      <c r="F142" s="54"/>
    </row>
    <row r="143" spans="2:6">
      <c r="B143" s="64" t="s">
        <v>124</v>
      </c>
      <c r="C143" s="266">
        <f>+'Draft-BS'!H36</f>
        <v>48523122000</v>
      </c>
      <c r="D143" s="54"/>
      <c r="E143" s="266">
        <v>55449154000</v>
      </c>
      <c r="F143" s="54"/>
    </row>
    <row r="144" spans="2:6">
      <c r="B144" s="64" t="s">
        <v>125</v>
      </c>
      <c r="C144" s="266">
        <f>+'Draft-BS'!H37</f>
        <v>1757017000</v>
      </c>
      <c r="D144" s="54"/>
      <c r="E144" s="266">
        <v>2222499000</v>
      </c>
      <c r="F144" s="54"/>
    </row>
    <row r="145" spans="2:6">
      <c r="B145" s="64" t="s">
        <v>126</v>
      </c>
      <c r="C145" s="266">
        <f>+'Draft-BS'!H38</f>
        <v>2774745200</v>
      </c>
      <c r="D145" s="54"/>
      <c r="E145" s="266">
        <v>2637000000</v>
      </c>
      <c r="F145" s="54"/>
    </row>
    <row r="146" spans="2:6">
      <c r="B146" s="64" t="s">
        <v>263</v>
      </c>
      <c r="C146" s="266">
        <f>+'Draft-BS'!H39</f>
        <v>947426553.29999995</v>
      </c>
      <c r="D146" s="54"/>
      <c r="E146" s="266">
        <v>906063701.82000005</v>
      </c>
      <c r="F146" s="54"/>
    </row>
    <row r="147" spans="2:6">
      <c r="B147" s="64" t="s">
        <v>127</v>
      </c>
      <c r="C147" s="266">
        <f>+'Draft-BS'!H40</f>
        <v>130311547</v>
      </c>
      <c r="D147" s="54"/>
      <c r="E147" s="266">
        <v>129385730</v>
      </c>
      <c r="F147" s="54"/>
    </row>
    <row r="148" spans="2:6">
      <c r="B148" s="64" t="s">
        <v>128</v>
      </c>
      <c r="C148" s="266">
        <f>+'Draft-BS'!H41</f>
        <v>3331873936.3400002</v>
      </c>
      <c r="D148" s="54"/>
      <c r="E148" s="266">
        <v>3051936642.8699999</v>
      </c>
      <c r="F148" s="54"/>
    </row>
    <row r="149" spans="2:6">
      <c r="B149" s="64" t="s">
        <v>129</v>
      </c>
      <c r="C149" s="266">
        <f>+'Draft-BS'!H42</f>
        <v>35476406</v>
      </c>
      <c r="D149" s="54"/>
      <c r="E149" s="266">
        <v>39015274</v>
      </c>
      <c r="F149" s="54"/>
    </row>
    <row r="150" spans="2:6">
      <c r="B150" s="64" t="s">
        <v>130</v>
      </c>
      <c r="C150" s="271">
        <f>+'Draft-BS'!H44</f>
        <v>5640482</v>
      </c>
      <c r="D150" s="54"/>
      <c r="E150" s="271">
        <v>5185531</v>
      </c>
      <c r="F150" s="54"/>
    </row>
    <row r="151" spans="2:6">
      <c r="B151" s="64" t="s">
        <v>131</v>
      </c>
      <c r="C151" s="267">
        <f>+'Draft-BS'!H45</f>
        <v>0</v>
      </c>
      <c r="D151" s="54"/>
      <c r="E151" s="272">
        <v>38795</v>
      </c>
      <c r="F151" s="54"/>
    </row>
    <row r="152" spans="2:6">
      <c r="B152" s="64" t="s">
        <v>132</v>
      </c>
      <c r="C152" s="54">
        <f>+'Draft-BS'!H46</f>
        <v>32563</v>
      </c>
      <c r="D152" s="54"/>
      <c r="E152" s="275">
        <v>94314</v>
      </c>
      <c r="F152" s="54"/>
    </row>
    <row r="153" spans="2:6">
      <c r="B153" s="91" t="s">
        <v>457</v>
      </c>
      <c r="C153" s="267">
        <f>+'Draft-BS'!H43</f>
        <v>0</v>
      </c>
      <c r="D153" s="266">
        <f>+SUM(C143:C153)-1</f>
        <v>57505645686.639999</v>
      </c>
      <c r="E153" s="272">
        <v>25000</v>
      </c>
      <c r="F153" s="266">
        <f>+SUM(E143:E153)</f>
        <v>64440397988.690002</v>
      </c>
    </row>
    <row r="154" spans="2:6">
      <c r="B154" s="64"/>
      <c r="C154" s="176"/>
      <c r="D154" s="54"/>
      <c r="E154" s="56"/>
      <c r="F154" s="54"/>
    </row>
    <row r="155" spans="2:6">
      <c r="B155" s="63" t="s">
        <v>139</v>
      </c>
      <c r="C155" s="165"/>
      <c r="D155" s="166"/>
      <c r="E155" s="54"/>
      <c r="F155" s="54"/>
    </row>
    <row r="156" spans="2:6">
      <c r="B156" s="64" t="s">
        <v>133</v>
      </c>
      <c r="C156" s="167">
        <f>+'Draft-BS'!H48</f>
        <v>0</v>
      </c>
      <c r="D156" s="54"/>
      <c r="E156" s="266">
        <v>100000000</v>
      </c>
      <c r="F156" s="54"/>
    </row>
    <row r="157" spans="2:6">
      <c r="B157" s="64" t="s">
        <v>134</v>
      </c>
      <c r="C157" s="271">
        <f>+'Draft-BS'!H49</f>
        <v>4522142.58</v>
      </c>
      <c r="D157" s="54"/>
      <c r="E157" s="266">
        <v>18629252.510000002</v>
      </c>
      <c r="F157" s="54"/>
    </row>
    <row r="158" spans="2:6">
      <c r="B158" s="64" t="s">
        <v>135</v>
      </c>
      <c r="C158" s="266">
        <f>+'Draft-BS'!H50</f>
        <v>19367738.039999999</v>
      </c>
      <c r="D158" s="54"/>
      <c r="E158" s="266">
        <v>16914226.210000001</v>
      </c>
      <c r="F158" s="54"/>
    </row>
    <row r="159" spans="2:6">
      <c r="B159" s="64" t="s">
        <v>532</v>
      </c>
      <c r="C159" s="266">
        <f>+'Draft-BS'!H51</f>
        <v>280000000</v>
      </c>
      <c r="D159" s="54"/>
      <c r="E159" s="266">
        <v>300000000</v>
      </c>
      <c r="F159" s="54"/>
    </row>
    <row r="160" spans="2:6">
      <c r="B160" s="64" t="s">
        <v>533</v>
      </c>
      <c r="C160" s="266">
        <f>+'Draft-BS'!H52</f>
        <v>2004056163</v>
      </c>
      <c r="D160" s="54"/>
      <c r="E160" s="271">
        <v>3149723</v>
      </c>
      <c r="F160" s="54"/>
    </row>
    <row r="161" spans="2:6">
      <c r="B161" s="64" t="s">
        <v>136</v>
      </c>
      <c r="C161" s="266">
        <f>+'Draft-BS'!H53</f>
        <v>3471478745</v>
      </c>
      <c r="D161" s="54"/>
      <c r="E161" s="266">
        <v>2470549534</v>
      </c>
      <c r="F161" s="54"/>
    </row>
    <row r="162" spans="2:6">
      <c r="B162" s="64" t="s">
        <v>137</v>
      </c>
      <c r="C162" s="266">
        <f>+'Draft-BS'!H54</f>
        <v>8000000000</v>
      </c>
      <c r="D162" s="54"/>
      <c r="E162" s="266">
        <v>7500000000</v>
      </c>
      <c r="F162" s="54"/>
    </row>
    <row r="163" spans="2:6">
      <c r="B163" s="64"/>
      <c r="C163" s="276">
        <v>0</v>
      </c>
      <c r="D163" s="266">
        <f>+SUM(C156:C163)</f>
        <v>13779424788.619999</v>
      </c>
      <c r="E163" s="276">
        <v>0</v>
      </c>
      <c r="F163" s="266">
        <f>+SUM(E156:E163)</f>
        <v>10409242735.720001</v>
      </c>
    </row>
    <row r="164" spans="2:6">
      <c r="B164" s="64"/>
      <c r="C164" s="167"/>
      <c r="D164" s="266"/>
      <c r="E164" s="54"/>
      <c r="F164" s="54"/>
    </row>
    <row r="165" spans="2:6">
      <c r="B165" s="63" t="s">
        <v>162</v>
      </c>
      <c r="C165" s="165"/>
      <c r="D165" s="166"/>
      <c r="E165" s="54"/>
      <c r="F165" s="54"/>
    </row>
    <row r="166" spans="2:6">
      <c r="B166" s="64" t="s">
        <v>76</v>
      </c>
      <c r="C166" s="271">
        <f>+'Draft-BS'!H56</f>
        <v>281964.96999999997</v>
      </c>
      <c r="D166" s="54"/>
      <c r="E166" s="271">
        <v>614823.32999999996</v>
      </c>
      <c r="F166" s="54"/>
    </row>
    <row r="167" spans="2:6">
      <c r="B167" s="64" t="s">
        <v>161</v>
      </c>
      <c r="C167" s="266">
        <f>+'Draft-BS'!H59</f>
        <v>185553567.44</v>
      </c>
      <c r="D167" s="54"/>
      <c r="E167" s="266">
        <v>135643929.99000001</v>
      </c>
      <c r="F167" s="54"/>
    </row>
    <row r="168" spans="2:6">
      <c r="B168" s="64" t="s">
        <v>140</v>
      </c>
      <c r="C168" s="267">
        <v>0</v>
      </c>
      <c r="D168" s="54"/>
      <c r="E168" s="272">
        <v>31250.76</v>
      </c>
      <c r="F168" s="54"/>
    </row>
    <row r="169" spans="2:6">
      <c r="B169" s="64" t="s">
        <v>78</v>
      </c>
      <c r="C169" s="271">
        <f>+'Draft-BS'!H58</f>
        <v>1653203.68</v>
      </c>
      <c r="D169" s="54"/>
      <c r="E169" s="272">
        <v>0</v>
      </c>
      <c r="F169" s="54"/>
    </row>
    <row r="170" spans="2:6">
      <c r="B170" s="90" t="s">
        <v>264</v>
      </c>
      <c r="C170" s="273">
        <f>+'Draft-BS'!H57</f>
        <v>2856666.09</v>
      </c>
      <c r="D170" s="266">
        <f>+SUM(C166:C170)</f>
        <v>190345402.18000001</v>
      </c>
      <c r="E170" s="273">
        <v>1895689.85</v>
      </c>
      <c r="F170" s="266">
        <f>+SUM(E166:E170)</f>
        <v>138185693.93000001</v>
      </c>
    </row>
    <row r="171" spans="2:6">
      <c r="B171" s="64"/>
      <c r="C171" s="167"/>
      <c r="D171" s="54"/>
      <c r="E171" s="56"/>
      <c r="F171" s="54"/>
    </row>
    <row r="172" spans="2:6">
      <c r="B172" s="63" t="s">
        <v>163</v>
      </c>
      <c r="C172" s="165"/>
      <c r="D172" s="166"/>
      <c r="E172" s="54"/>
      <c r="F172" s="54"/>
    </row>
    <row r="173" spans="2:6">
      <c r="B173" s="64" t="s">
        <v>141</v>
      </c>
      <c r="C173" s="266">
        <f>+'Draft-BS'!H61</f>
        <v>4344689699</v>
      </c>
      <c r="D173" s="54"/>
      <c r="E173" s="266">
        <v>3504966829</v>
      </c>
      <c r="F173" s="54"/>
    </row>
    <row r="174" spans="2:6">
      <c r="B174" s="64" t="s">
        <v>142</v>
      </c>
      <c r="C174" s="266">
        <f>+'Draft-BS'!H62</f>
        <v>5076196013</v>
      </c>
      <c r="D174" s="54"/>
      <c r="E174" s="266">
        <v>4675588764</v>
      </c>
      <c r="F174" s="54"/>
    </row>
    <row r="175" spans="2:6">
      <c r="B175" s="64" t="s">
        <v>143</v>
      </c>
      <c r="C175" s="266">
        <f>+'Draft-BS'!H63</f>
        <v>3002453721</v>
      </c>
      <c r="D175" s="54"/>
      <c r="E175" s="266">
        <v>1751485814</v>
      </c>
      <c r="F175" s="54"/>
    </row>
    <row r="176" spans="2:6">
      <c r="B176" s="64" t="s">
        <v>144</v>
      </c>
      <c r="C176" s="266">
        <f>+'Draft-BS'!H64</f>
        <v>322906919</v>
      </c>
      <c r="D176" s="54"/>
      <c r="E176" s="266">
        <v>372872292</v>
      </c>
      <c r="F176" s="54"/>
    </row>
    <row r="177" spans="2:6">
      <c r="B177" s="64" t="s">
        <v>145</v>
      </c>
      <c r="C177" s="266">
        <f>+'Draft-BS'!H65</f>
        <v>187537999</v>
      </c>
      <c r="D177" s="54"/>
      <c r="E177" s="266">
        <v>151412673.19</v>
      </c>
      <c r="F177" s="54"/>
    </row>
    <row r="178" spans="2:6">
      <c r="B178" s="64" t="s">
        <v>146</v>
      </c>
      <c r="C178" s="271">
        <f>+'Draft-BS'!H66</f>
        <v>189479</v>
      </c>
      <c r="D178" s="54"/>
      <c r="E178" s="271">
        <v>215914</v>
      </c>
      <c r="F178" s="54"/>
    </row>
    <row r="179" spans="2:6">
      <c r="B179" s="64" t="s">
        <v>147</v>
      </c>
      <c r="C179" s="271">
        <f>+'Draft-BS'!H67</f>
        <v>460495</v>
      </c>
      <c r="D179" s="54"/>
      <c r="E179" s="272">
        <v>12359</v>
      </c>
      <c r="F179" s="54"/>
    </row>
    <row r="180" spans="2:6">
      <c r="B180" s="64" t="s">
        <v>148</v>
      </c>
      <c r="C180" s="271">
        <f>+'Draft-BS'!H68</f>
        <v>144604</v>
      </c>
      <c r="D180" s="54"/>
      <c r="E180" s="272">
        <v>47388</v>
      </c>
      <c r="F180" s="54"/>
    </row>
    <row r="181" spans="2:6">
      <c r="B181" s="64" t="s">
        <v>149</v>
      </c>
      <c r="C181" s="266">
        <f>+'Draft-BS'!H69</f>
        <v>269069393.37</v>
      </c>
      <c r="D181" s="54"/>
      <c r="E181" s="266">
        <v>159511199.52000001</v>
      </c>
      <c r="F181" s="54"/>
    </row>
    <row r="182" spans="2:6">
      <c r="B182" s="89" t="s">
        <v>265</v>
      </c>
      <c r="C182" s="273">
        <f>+'Draft-BS'!H70</f>
        <v>500000</v>
      </c>
      <c r="D182" s="266">
        <f>+SUM(C173:C182)</f>
        <v>13204148322.370001</v>
      </c>
      <c r="E182" s="273">
        <v>224956</v>
      </c>
      <c r="F182" s="266">
        <f>+SUM(E173:E182)</f>
        <v>10616338188.710001</v>
      </c>
    </row>
    <row r="183" spans="2:6">
      <c r="B183" s="89"/>
      <c r="C183" s="271"/>
      <c r="D183" s="54"/>
      <c r="E183" s="56"/>
      <c r="F183" s="54"/>
    </row>
    <row r="184" spans="2:6">
      <c r="B184" s="63" t="s">
        <v>164</v>
      </c>
      <c r="C184" s="271"/>
      <c r="D184" s="166"/>
      <c r="E184" s="54"/>
      <c r="F184" s="54"/>
    </row>
    <row r="185" spans="2:6">
      <c r="B185" s="64" t="s">
        <v>150</v>
      </c>
      <c r="C185" s="271">
        <f>+'Draft-BS'!H77</f>
        <v>4616086</v>
      </c>
      <c r="D185" s="54"/>
      <c r="E185" s="271">
        <v>644806</v>
      </c>
      <c r="F185" s="54"/>
    </row>
    <row r="186" spans="2:6">
      <c r="B186" s="64" t="s">
        <v>151</v>
      </c>
      <c r="C186" s="266">
        <f>+'Draft-BS'!H72</f>
        <v>248765373</v>
      </c>
      <c r="D186" s="54"/>
      <c r="E186" s="266">
        <v>176915395</v>
      </c>
      <c r="F186" s="54"/>
    </row>
    <row r="187" spans="2:6">
      <c r="B187" s="64" t="s">
        <v>152</v>
      </c>
      <c r="C187" s="266">
        <f>+'Draft-BS'!H73</f>
        <v>1641545420.1400001</v>
      </c>
      <c r="D187" s="54"/>
      <c r="E187" s="266">
        <v>1316542205.8599999</v>
      </c>
      <c r="F187" s="54"/>
    </row>
    <row r="188" spans="2:6">
      <c r="B188" s="64" t="s">
        <v>153</v>
      </c>
      <c r="C188" s="266">
        <f>+'Draft-BS'!H74</f>
        <v>2424850159</v>
      </c>
      <c r="D188" s="54"/>
      <c r="E188" s="266">
        <v>1851961417.73</v>
      </c>
      <c r="F188" s="54"/>
    </row>
    <row r="189" spans="2:6">
      <c r="B189" s="64" t="s">
        <v>154</v>
      </c>
      <c r="C189" s="266">
        <f>+'Draft-BS'!H75</f>
        <v>2302780858.5</v>
      </c>
      <c r="D189" s="54"/>
      <c r="E189" s="266">
        <v>1862282929.53</v>
      </c>
      <c r="F189" s="54"/>
    </row>
    <row r="190" spans="2:6">
      <c r="B190" s="64" t="s">
        <v>155</v>
      </c>
      <c r="C190" s="266">
        <f>+'Draft-BS'!H78</f>
        <v>17831858734</v>
      </c>
      <c r="D190" s="54"/>
      <c r="E190" s="266">
        <v>16905690799</v>
      </c>
      <c r="F190" s="54"/>
    </row>
    <row r="191" spans="2:6">
      <c r="B191" s="64" t="s">
        <v>156</v>
      </c>
      <c r="C191" s="268">
        <f>+'Draft-BS'!H76</f>
        <v>28864812</v>
      </c>
      <c r="D191" s="266">
        <f>+SUM(C185:C191)</f>
        <v>24483281442.639999</v>
      </c>
      <c r="E191" s="268">
        <v>18603431</v>
      </c>
      <c r="F191" s="266">
        <f>+SUM(E185:E191)</f>
        <v>22132640984.119999</v>
      </c>
    </row>
    <row r="192" spans="2:6">
      <c r="B192" s="64"/>
      <c r="C192" s="167"/>
      <c r="D192" s="54"/>
      <c r="E192" s="54"/>
      <c r="F192" s="54"/>
    </row>
    <row r="193" spans="2:6">
      <c r="B193" s="63" t="s">
        <v>165</v>
      </c>
      <c r="C193" s="165"/>
      <c r="D193" s="166"/>
      <c r="E193" s="54"/>
      <c r="F193" s="54"/>
    </row>
    <row r="194" spans="2:6">
      <c r="B194" s="64" t="s">
        <v>157</v>
      </c>
      <c r="C194" s="271">
        <f>+'Draft-BS'!H80</f>
        <v>529336</v>
      </c>
      <c r="D194" s="54"/>
      <c r="E194" s="271">
        <v>529336</v>
      </c>
      <c r="F194" s="54"/>
    </row>
    <row r="195" spans="2:6">
      <c r="B195" s="64" t="s">
        <v>158</v>
      </c>
      <c r="C195" s="271">
        <f>+'Draft-BS'!H81</f>
        <v>8879036</v>
      </c>
      <c r="D195" s="54"/>
      <c r="E195" s="271">
        <v>8879036</v>
      </c>
      <c r="F195" s="54"/>
    </row>
    <row r="196" spans="2:6">
      <c r="B196" s="64" t="s">
        <v>159</v>
      </c>
      <c r="C196" s="271">
        <f>+'Draft-BS'!H82</f>
        <v>533156</v>
      </c>
      <c r="D196" s="54"/>
      <c r="E196" s="271">
        <v>533156</v>
      </c>
      <c r="F196" s="54"/>
    </row>
    <row r="197" spans="2:6">
      <c r="B197" s="64" t="s">
        <v>160</v>
      </c>
      <c r="C197" s="273">
        <f>+'Draft-BS'!H83</f>
        <v>514000</v>
      </c>
      <c r="D197" s="266">
        <f>+SUM(C194:C197)</f>
        <v>10455528</v>
      </c>
      <c r="E197" s="273">
        <v>514000</v>
      </c>
      <c r="F197" s="266">
        <f>+SUM(E194:E197)</f>
        <v>10455528</v>
      </c>
    </row>
    <row r="198" spans="2:6">
      <c r="B198" s="64"/>
      <c r="C198" s="167"/>
      <c r="D198" s="54"/>
      <c r="E198" s="54"/>
      <c r="F198" s="54"/>
    </row>
    <row r="199" spans="2:6" ht="34.5" thickBot="1">
      <c r="B199" s="64"/>
      <c r="C199" s="167"/>
      <c r="D199" s="270">
        <f>+SUM(D143:D197)+1</f>
        <v>109173301171.44998</v>
      </c>
      <c r="E199" s="169"/>
      <c r="F199" s="270">
        <f>+SUM(F143:F197)</f>
        <v>107747261119.17</v>
      </c>
    </row>
    <row r="200" spans="2:6" ht="33.75" thickTop="1">
      <c r="B200" s="64"/>
      <c r="C200" s="167"/>
      <c r="D200" s="54"/>
      <c r="E200" s="54"/>
      <c r="F200" s="54"/>
    </row>
    <row r="201" spans="2:6" ht="33.75">
      <c r="B201" s="65" t="s">
        <v>166</v>
      </c>
      <c r="C201" s="168"/>
      <c r="D201" s="169"/>
      <c r="E201" s="54"/>
      <c r="F201" s="54"/>
    </row>
    <row r="202" spans="2:6">
      <c r="B202" s="63" t="s">
        <v>174</v>
      </c>
      <c r="C202" s="165"/>
      <c r="D202" s="166"/>
      <c r="E202" s="54"/>
      <c r="F202" s="54"/>
    </row>
    <row r="203" spans="2:6">
      <c r="B203" s="64" t="s">
        <v>176</v>
      </c>
      <c r="C203" s="266">
        <f>+F209</f>
        <v>1186424290</v>
      </c>
      <c r="D203" s="54"/>
      <c r="E203" s="54"/>
      <c r="F203" s="54"/>
    </row>
    <row r="204" spans="2:6">
      <c r="B204" s="64" t="s">
        <v>169</v>
      </c>
      <c r="C204" s="266">
        <v>25395988</v>
      </c>
      <c r="D204" s="54"/>
      <c r="E204" s="54"/>
      <c r="F204" s="54"/>
    </row>
    <row r="205" spans="2:6">
      <c r="B205" s="212" t="s">
        <v>170</v>
      </c>
      <c r="C205" s="213"/>
      <c r="D205" s="54"/>
      <c r="E205" s="55"/>
      <c r="F205" s="54"/>
    </row>
    <row r="206" spans="2:6">
      <c r="B206" s="212"/>
      <c r="C206" s="277">
        <f>SUM(C203:C205)</f>
        <v>1211820278</v>
      </c>
      <c r="D206" s="54"/>
      <c r="E206" s="54"/>
      <c r="F206" s="54"/>
    </row>
    <row r="207" spans="2:6">
      <c r="B207" s="64" t="s">
        <v>171</v>
      </c>
      <c r="C207" s="271">
        <f>9846250+7757</f>
        <v>9854007</v>
      </c>
      <c r="D207" s="54"/>
      <c r="E207" s="54"/>
      <c r="F207" s="54"/>
    </row>
    <row r="208" spans="2:6">
      <c r="B208" s="64" t="s">
        <v>527</v>
      </c>
      <c r="C208" s="266">
        <v>273890951</v>
      </c>
      <c r="D208" s="54"/>
      <c r="E208" s="55"/>
      <c r="F208" s="54"/>
    </row>
    <row r="209" spans="2:7">
      <c r="B209" s="64"/>
      <c r="C209" s="277">
        <f>SUM(C207:C208)</f>
        <v>283744958</v>
      </c>
      <c r="D209" s="266">
        <f>+C206-C209</f>
        <v>928075320</v>
      </c>
      <c r="E209" s="267">
        <v>0</v>
      </c>
      <c r="F209" s="266">
        <v>1186424290</v>
      </c>
    </row>
    <row r="210" spans="2:7">
      <c r="B210" s="66"/>
      <c r="C210" s="170"/>
      <c r="D210" s="55"/>
      <c r="E210" s="55"/>
      <c r="F210" s="55"/>
    </row>
    <row r="211" spans="2:7">
      <c r="B211" s="70" t="s">
        <v>173</v>
      </c>
      <c r="C211" s="177"/>
      <c r="D211" s="178"/>
      <c r="E211" s="56"/>
      <c r="F211" s="56"/>
    </row>
    <row r="212" spans="2:7">
      <c r="B212" s="64" t="s">
        <v>176</v>
      </c>
      <c r="C212" s="266">
        <f>+F218</f>
        <v>61317075</v>
      </c>
      <c r="D212" s="54"/>
      <c r="E212" s="54">
        <v>0</v>
      </c>
      <c r="F212" s="54"/>
    </row>
    <row r="213" spans="2:7">
      <c r="B213" s="64" t="s">
        <v>169</v>
      </c>
      <c r="C213" s="271">
        <f>3227233+43877</f>
        <v>3271110</v>
      </c>
      <c r="D213" s="54"/>
      <c r="E213" s="57">
        <v>0</v>
      </c>
      <c r="F213" s="54"/>
    </row>
    <row r="214" spans="2:7">
      <c r="B214" s="64" t="s">
        <v>170</v>
      </c>
      <c r="C214" s="271">
        <v>363800</v>
      </c>
      <c r="D214" s="54"/>
      <c r="E214" s="144">
        <v>0</v>
      </c>
      <c r="F214" s="54"/>
    </row>
    <row r="215" spans="2:7">
      <c r="B215" s="64"/>
      <c r="C215" s="277">
        <f>+C212+C213-C214</f>
        <v>64224385</v>
      </c>
      <c r="D215" s="54"/>
      <c r="E215" s="57">
        <v>0</v>
      </c>
      <c r="F215" s="54"/>
    </row>
    <row r="216" spans="2:7">
      <c r="B216" s="64" t="s">
        <v>171</v>
      </c>
      <c r="C216" s="271">
        <f>9536529+149370</f>
        <v>9685899</v>
      </c>
      <c r="D216" s="54"/>
      <c r="E216" s="57">
        <v>0</v>
      </c>
      <c r="F216" s="54"/>
    </row>
    <row r="217" spans="2:7">
      <c r="B217" s="64" t="s">
        <v>172</v>
      </c>
      <c r="C217" s="271"/>
      <c r="D217" s="54"/>
      <c r="E217" s="55">
        <v>0</v>
      </c>
      <c r="F217" s="54"/>
    </row>
    <row r="218" spans="2:7">
      <c r="B218" s="64"/>
      <c r="C218" s="271">
        <f>SUM(C216:C217)</f>
        <v>9685899</v>
      </c>
      <c r="D218" s="266">
        <f>+C215-C218</f>
        <v>54538486</v>
      </c>
      <c r="E218" s="277"/>
      <c r="F218" s="266">
        <v>61317075</v>
      </c>
    </row>
    <row r="219" spans="2:7">
      <c r="B219" s="214"/>
      <c r="C219" s="176"/>
      <c r="D219" s="54"/>
      <c r="E219" s="54"/>
      <c r="F219" s="54"/>
    </row>
    <row r="220" spans="2:7">
      <c r="B220" s="215" t="s">
        <v>175</v>
      </c>
      <c r="C220" s="165"/>
      <c r="D220" s="166"/>
      <c r="E220" s="54"/>
      <c r="F220" s="54"/>
    </row>
    <row r="221" spans="2:7">
      <c r="B221" s="214" t="s">
        <v>168</v>
      </c>
      <c r="C221" s="266">
        <f>+F228</f>
        <v>26050981</v>
      </c>
      <c r="D221" s="54"/>
      <c r="E221" s="57">
        <v>0</v>
      </c>
      <c r="F221" s="57"/>
    </row>
    <row r="222" spans="2:7">
      <c r="B222" s="214" t="s">
        <v>169</v>
      </c>
      <c r="C222" s="266">
        <f>4355091+11702861+2350384-38024-6750-254182</f>
        <v>18109380</v>
      </c>
      <c r="D222" s="54"/>
      <c r="E222" s="57">
        <v>0</v>
      </c>
      <c r="F222" s="57"/>
      <c r="G222" s="167">
        <f>2350384-38024-6750-254182</f>
        <v>2051428</v>
      </c>
    </row>
    <row r="223" spans="2:7">
      <c r="B223" s="214" t="s">
        <v>170</v>
      </c>
      <c r="C223" s="170"/>
      <c r="D223" s="54"/>
      <c r="E223" s="144">
        <v>0</v>
      </c>
      <c r="F223" s="57"/>
    </row>
    <row r="224" spans="2:7">
      <c r="B224" s="214"/>
      <c r="C224" s="277">
        <f>SUM(C221:C223)</f>
        <v>44160361</v>
      </c>
      <c r="D224" s="54"/>
      <c r="E224" s="57">
        <v>0</v>
      </c>
      <c r="F224" s="57"/>
    </row>
    <row r="225" spans="2:9">
      <c r="B225" s="64" t="s">
        <v>177</v>
      </c>
      <c r="C225" s="176"/>
      <c r="D225" s="54"/>
      <c r="E225" s="57">
        <v>0</v>
      </c>
      <c r="F225" s="57"/>
    </row>
    <row r="226" spans="2:9">
      <c r="B226" s="64" t="s">
        <v>171</v>
      </c>
      <c r="C226" s="266">
        <f>12676083+22537</f>
        <v>12698620</v>
      </c>
      <c r="D226" s="54"/>
      <c r="E226" s="57">
        <v>0</v>
      </c>
      <c r="F226" s="57"/>
    </row>
    <row r="227" spans="2:9">
      <c r="B227" s="64" t="s">
        <v>172</v>
      </c>
      <c r="C227" s="271">
        <v>4200000</v>
      </c>
      <c r="D227" s="54"/>
      <c r="E227" s="144">
        <v>0</v>
      </c>
      <c r="F227" s="57"/>
    </row>
    <row r="228" spans="2:9">
      <c r="B228" s="64"/>
      <c r="C228" s="277">
        <f>SUM(C226:C227)</f>
        <v>16898620</v>
      </c>
      <c r="D228" s="266">
        <f>+'Draft-BS'!H95</f>
        <v>27261741.129999999</v>
      </c>
      <c r="E228" s="57">
        <v>0</v>
      </c>
      <c r="F228" s="266">
        <v>26050981</v>
      </c>
    </row>
    <row r="229" spans="2:9" s="58" customFormat="1">
      <c r="B229" s="68"/>
      <c r="C229" s="173"/>
      <c r="D229" s="57"/>
      <c r="E229" s="57"/>
      <c r="F229" s="57"/>
      <c r="I229" s="58">
        <f>E228-F228</f>
        <v>-26050981</v>
      </c>
    </row>
    <row r="230" spans="2:9" s="58" customFormat="1">
      <c r="B230" s="64" t="s">
        <v>167</v>
      </c>
      <c r="C230" s="167"/>
      <c r="D230" s="54"/>
      <c r="E230" s="57"/>
      <c r="F230" s="57"/>
    </row>
    <row r="231" spans="2:9" s="58" customFormat="1">
      <c r="B231" s="64" t="s">
        <v>176</v>
      </c>
      <c r="C231" s="266">
        <f>+F237</f>
        <v>11720734</v>
      </c>
      <c r="D231" s="54"/>
      <c r="E231" s="57">
        <v>0</v>
      </c>
      <c r="F231" s="57"/>
    </row>
    <row r="232" spans="2:9">
      <c r="B232" s="64" t="s">
        <v>169</v>
      </c>
      <c r="C232" s="271">
        <v>6167269</v>
      </c>
      <c r="D232" s="54"/>
      <c r="E232" s="57">
        <v>0</v>
      </c>
      <c r="F232" s="57"/>
    </row>
    <row r="233" spans="2:9">
      <c r="B233" s="64" t="s">
        <v>170</v>
      </c>
      <c r="C233" s="273">
        <f>1725000-759616</f>
        <v>965384</v>
      </c>
      <c r="D233" s="54"/>
      <c r="E233" s="144">
        <v>0</v>
      </c>
      <c r="F233" s="57"/>
    </row>
    <row r="234" spans="2:9">
      <c r="B234" s="64"/>
      <c r="C234" s="277">
        <f>+C231+C232-C233</f>
        <v>16922619</v>
      </c>
      <c r="D234" s="54"/>
      <c r="E234" s="57">
        <v>0</v>
      </c>
      <c r="F234" s="57"/>
    </row>
    <row r="235" spans="2:9">
      <c r="B235" s="64" t="s">
        <v>171</v>
      </c>
      <c r="C235" s="271">
        <v>2767797</v>
      </c>
      <c r="D235" s="54"/>
      <c r="E235" s="57">
        <v>0</v>
      </c>
      <c r="F235" s="57"/>
    </row>
    <row r="236" spans="2:9">
      <c r="B236" s="64" t="s">
        <v>172</v>
      </c>
      <c r="C236" s="167"/>
      <c r="D236" s="54"/>
      <c r="E236" s="144">
        <v>0</v>
      </c>
      <c r="F236" s="57"/>
    </row>
    <row r="237" spans="2:9">
      <c r="B237" s="64"/>
      <c r="C237" s="278">
        <f>SUM(C235:C236)</f>
        <v>2767797</v>
      </c>
      <c r="D237" s="266">
        <f>+C234-C237</f>
        <v>14154822</v>
      </c>
      <c r="E237" s="57">
        <v>0</v>
      </c>
      <c r="F237" s="57">
        <v>11720734</v>
      </c>
    </row>
    <row r="238" spans="2:9">
      <c r="B238" s="64"/>
      <c r="C238" s="167"/>
      <c r="D238" s="54"/>
      <c r="E238" s="54"/>
      <c r="F238" s="54"/>
    </row>
    <row r="239" spans="2:9" ht="34.5" thickBot="1">
      <c r="B239" s="64"/>
      <c r="C239" s="167"/>
      <c r="D239" s="270">
        <f>+SUM(D208:D237)</f>
        <v>1024030369.13</v>
      </c>
      <c r="E239" s="169"/>
      <c r="F239" s="270">
        <f>+SUM(F208:F237)</f>
        <v>1285513080</v>
      </c>
    </row>
    <row r="240" spans="2:9" ht="33.75" thickTop="1">
      <c r="B240" s="64"/>
      <c r="C240" s="167"/>
      <c r="D240" s="54"/>
      <c r="E240" s="54"/>
      <c r="F240" s="54"/>
    </row>
    <row r="241" spans="2:6" ht="33.75">
      <c r="B241" s="65" t="s">
        <v>178</v>
      </c>
      <c r="C241" s="168"/>
      <c r="D241" s="169"/>
      <c r="E241" s="54"/>
      <c r="F241" s="54"/>
    </row>
    <row r="242" spans="2:6">
      <c r="B242" s="64" t="s">
        <v>179</v>
      </c>
      <c r="C242" s="167"/>
      <c r="D242" s="271">
        <f>+'Draft-BS'!H99</f>
        <v>119056.04</v>
      </c>
      <c r="E242" s="54"/>
      <c r="F242" s="271">
        <v>119056.04</v>
      </c>
    </row>
    <row r="243" spans="2:6">
      <c r="B243" s="64" t="s">
        <v>180</v>
      </c>
      <c r="C243" s="167"/>
      <c r="D243" s="266">
        <f>+'Draft-BS'!H100</f>
        <v>10766774381.93</v>
      </c>
      <c r="E243" s="54"/>
      <c r="F243" s="266">
        <v>200721426.83000001</v>
      </c>
    </row>
    <row r="244" spans="2:6">
      <c r="B244" s="64" t="s">
        <v>181</v>
      </c>
      <c r="C244" s="167"/>
      <c r="D244" s="266">
        <f>+'Draft-BS'!H101</f>
        <v>35778132.32</v>
      </c>
      <c r="E244" s="54"/>
      <c r="F244" s="266">
        <v>35794449.32</v>
      </c>
    </row>
    <row r="245" spans="2:6">
      <c r="B245" s="64" t="s">
        <v>182</v>
      </c>
      <c r="C245" s="167"/>
      <c r="D245" s="271">
        <f>+'Draft-BS'!H102</f>
        <v>1184692.45</v>
      </c>
      <c r="E245" s="54"/>
      <c r="F245" s="271">
        <v>1566792.45</v>
      </c>
    </row>
    <row r="246" spans="2:6">
      <c r="B246" s="64" t="s">
        <v>183</v>
      </c>
      <c r="C246" s="167"/>
      <c r="D246" s="271">
        <f>+'Draft-BS'!H103</f>
        <v>1239207.47</v>
      </c>
      <c r="E246" s="54"/>
      <c r="F246" s="271">
        <v>1239207.47</v>
      </c>
    </row>
    <row r="247" spans="2:6">
      <c r="B247" s="64" t="s">
        <v>184</v>
      </c>
      <c r="C247" s="167"/>
      <c r="D247" s="271">
        <f>+'Draft-BS'!H107</f>
        <v>4919190.41</v>
      </c>
      <c r="E247" s="54"/>
      <c r="F247" s="271">
        <v>4968309.05</v>
      </c>
    </row>
    <row r="248" spans="2:6">
      <c r="B248" s="64" t="s">
        <v>500</v>
      </c>
      <c r="C248" s="167"/>
      <c r="D248" s="271">
        <f>+'Draft-BS'!H104</f>
        <v>9933472.8499999996</v>
      </c>
      <c r="E248" s="54"/>
      <c r="F248" s="267">
        <v>0</v>
      </c>
    </row>
    <row r="249" spans="2:6">
      <c r="B249" s="64" t="s">
        <v>517</v>
      </c>
      <c r="C249" s="167"/>
      <c r="D249" s="266">
        <f>+'Draft-BS'!H106</f>
        <v>421182650</v>
      </c>
      <c r="E249" s="54"/>
      <c r="F249" s="267">
        <v>0</v>
      </c>
    </row>
    <row r="250" spans="2:6">
      <c r="B250" s="64" t="s">
        <v>185</v>
      </c>
      <c r="C250" s="167"/>
      <c r="D250" s="266">
        <f>+'Draft-BS'!H105</f>
        <v>447348993.31999999</v>
      </c>
      <c r="E250" s="54"/>
      <c r="F250" s="266">
        <v>240000000</v>
      </c>
    </row>
    <row r="251" spans="2:6" ht="33.75" thickBot="1">
      <c r="B251" s="66"/>
      <c r="C251" s="170"/>
      <c r="D251" s="269">
        <f>SUM(D242:D250)-1</f>
        <v>11688479775.790001</v>
      </c>
      <c r="E251" s="55"/>
      <c r="F251" s="269">
        <v>484409241.15999997</v>
      </c>
    </row>
    <row r="252" spans="2:6" ht="33.75" thickTop="1"/>
  </sheetData>
  <mergeCells count="2">
    <mergeCell ref="B2:F2"/>
    <mergeCell ref="B4:F4"/>
  </mergeCells>
  <printOptions horizontalCentered="1"/>
  <pageMargins left="0.70866141732283505" right="0.70866141732283505" top="0.74803149606299202" bottom="0.74803149606299202" header="0" footer="0"/>
  <pageSetup paperSize="9" scale="29" fitToHeight="4" orientation="portrait" r:id="rId1"/>
  <rowBreaks count="3" manualBreakCount="3">
    <brk id="76" min="1" max="5" man="1"/>
    <brk id="140" min="1" max="5" man="1"/>
    <brk id="210" min="1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2:L122"/>
  <sheetViews>
    <sheetView showGridLines="0" topLeftCell="B1" zoomScale="90" zoomScaleNormal="90" workbookViewId="0">
      <pane ySplit="7" topLeftCell="A113" activePane="bottomLeft" state="frozen"/>
      <selection pane="bottomLeft" activeCell="H91" sqref="H91"/>
    </sheetView>
  </sheetViews>
  <sheetFormatPr defaultRowHeight="13.5"/>
  <cols>
    <col min="1" max="1" width="4.375" style="113" customWidth="1"/>
    <col min="2" max="2" width="30.25" style="113" bestFit="1" customWidth="1"/>
    <col min="3" max="4" width="16.5" style="114" bestFit="1" customWidth="1"/>
    <col min="5" max="5" width="18.125" style="114" bestFit="1" customWidth="1"/>
    <col min="6" max="6" width="1.875" style="115" hidden="1" customWidth="1"/>
    <col min="7" max="7" width="30.25" style="113" customWidth="1"/>
    <col min="8" max="9" width="16.5" style="114" bestFit="1" customWidth="1"/>
    <col min="10" max="10" width="18.125" style="114" bestFit="1" customWidth="1"/>
    <col min="11" max="16384" width="9" style="113"/>
  </cols>
  <sheetData>
    <row r="2" spans="2:10">
      <c r="B2" s="305" t="s">
        <v>273</v>
      </c>
      <c r="C2" s="305"/>
      <c r="D2" s="305"/>
      <c r="E2" s="305"/>
      <c r="F2" s="305"/>
      <c r="G2" s="305"/>
      <c r="H2" s="305"/>
      <c r="I2" s="305"/>
      <c r="J2" s="305"/>
    </row>
    <row r="3" spans="2:10" ht="13.35" customHeight="1">
      <c r="B3" s="305" t="s">
        <v>274</v>
      </c>
      <c r="C3" s="305"/>
      <c r="D3" s="305"/>
      <c r="E3" s="305"/>
      <c r="F3" s="305"/>
      <c r="G3" s="305"/>
      <c r="H3" s="305"/>
      <c r="I3" s="305"/>
      <c r="J3" s="305"/>
    </row>
    <row r="4" spans="2:10" ht="13.35" customHeight="1">
      <c r="B4" s="305" t="s">
        <v>275</v>
      </c>
      <c r="C4" s="305"/>
      <c r="D4" s="305"/>
      <c r="E4" s="305"/>
      <c r="F4" s="305"/>
      <c r="G4" s="305"/>
      <c r="H4" s="305"/>
      <c r="I4" s="305"/>
      <c r="J4" s="305"/>
    </row>
    <row r="5" spans="2:10">
      <c r="B5" s="305" t="s">
        <v>495</v>
      </c>
      <c r="C5" s="305"/>
      <c r="D5" s="305"/>
      <c r="E5" s="305"/>
      <c r="F5" s="305"/>
      <c r="G5" s="305"/>
      <c r="H5" s="305"/>
      <c r="I5" s="305"/>
      <c r="J5" s="305"/>
    </row>
    <row r="6" spans="2:10" ht="13.35" customHeight="1">
      <c r="B6" s="306"/>
      <c r="C6" s="306"/>
      <c r="D6" s="306"/>
      <c r="E6" s="306"/>
      <c r="F6" s="306"/>
      <c r="G6" s="306"/>
      <c r="H6" s="306"/>
      <c r="I6" s="306"/>
      <c r="J6" s="306"/>
    </row>
    <row r="7" spans="2:10" s="115" customFormat="1" ht="13.35" customHeight="1">
      <c r="B7" s="116" t="s">
        <v>328</v>
      </c>
      <c r="C7" s="117" t="s">
        <v>279</v>
      </c>
      <c r="D7" s="117" t="s">
        <v>279</v>
      </c>
      <c r="E7" s="117" t="s">
        <v>279</v>
      </c>
      <c r="F7" s="116" t="s">
        <v>277</v>
      </c>
      <c r="G7" s="116" t="s">
        <v>329</v>
      </c>
      <c r="H7" s="117" t="s">
        <v>279</v>
      </c>
      <c r="I7" s="117" t="s">
        <v>279</v>
      </c>
      <c r="J7" s="117" t="s">
        <v>279</v>
      </c>
    </row>
    <row r="8" spans="2:10" ht="17.25" customHeight="1">
      <c r="B8" s="118" t="s">
        <v>330</v>
      </c>
      <c r="C8" s="119" t="s">
        <v>2</v>
      </c>
      <c r="D8" s="119"/>
      <c r="E8" s="119"/>
      <c r="F8" s="120">
        <v>1</v>
      </c>
      <c r="G8" s="118" t="s">
        <v>331</v>
      </c>
      <c r="H8" s="119" t="s">
        <v>2</v>
      </c>
      <c r="I8" s="119"/>
      <c r="J8" s="119"/>
    </row>
    <row r="9" spans="2:10" ht="17.25" customHeight="1">
      <c r="B9" s="121" t="s">
        <v>332</v>
      </c>
      <c r="C9" s="119" t="s">
        <v>2</v>
      </c>
      <c r="D9" s="119"/>
      <c r="E9" s="119"/>
      <c r="F9" s="120"/>
      <c r="G9" s="121" t="s">
        <v>333</v>
      </c>
      <c r="H9" s="122">
        <v>360592810</v>
      </c>
      <c r="I9" s="119"/>
      <c r="J9" s="119"/>
    </row>
    <row r="10" spans="2:10" ht="17.25" customHeight="1">
      <c r="B10" s="121" t="s">
        <v>334</v>
      </c>
      <c r="C10" s="122">
        <v>1500000000</v>
      </c>
      <c r="D10" s="119"/>
      <c r="E10" s="119"/>
      <c r="F10" s="120"/>
      <c r="G10" s="121" t="s">
        <v>110</v>
      </c>
      <c r="H10" s="122">
        <v>11500560984.540001</v>
      </c>
      <c r="I10" s="119"/>
      <c r="J10" s="119"/>
    </row>
    <row r="11" spans="2:10" ht="17.25" customHeight="1">
      <c r="B11" s="121" t="s">
        <v>335</v>
      </c>
      <c r="C11" s="119" t="s">
        <v>2</v>
      </c>
      <c r="D11" s="119"/>
      <c r="E11" s="119"/>
      <c r="F11" s="120"/>
      <c r="G11" s="121" t="s">
        <v>111</v>
      </c>
      <c r="H11" s="119">
        <v>456438.2</v>
      </c>
      <c r="I11" s="119"/>
      <c r="J11" s="119"/>
    </row>
    <row r="12" spans="2:10" ht="17.25" customHeight="1">
      <c r="B12" s="121" t="s">
        <v>336</v>
      </c>
      <c r="C12" s="122">
        <v>838757700</v>
      </c>
      <c r="D12" s="119"/>
      <c r="E12" s="119"/>
      <c r="F12" s="120"/>
      <c r="G12" s="121" t="s">
        <v>496</v>
      </c>
      <c r="H12" s="122">
        <v>4748571.7300000004</v>
      </c>
      <c r="I12" s="119"/>
      <c r="J12" s="119"/>
    </row>
    <row r="13" spans="2:10" ht="17.25" customHeight="1">
      <c r="B13" s="121" t="s">
        <v>337</v>
      </c>
      <c r="C13" s="119" t="s">
        <v>2</v>
      </c>
      <c r="D13" s="119"/>
      <c r="E13" s="119"/>
      <c r="F13" s="120"/>
      <c r="G13" s="121" t="s">
        <v>112</v>
      </c>
      <c r="H13" s="122">
        <v>108829009.91</v>
      </c>
      <c r="I13" s="119"/>
      <c r="J13" s="119"/>
    </row>
    <row r="14" spans="2:10" ht="17.25" customHeight="1">
      <c r="B14" s="121" t="s">
        <v>338</v>
      </c>
      <c r="C14" s="122">
        <v>4024541800</v>
      </c>
      <c r="D14" s="119"/>
      <c r="E14" s="119"/>
      <c r="F14" s="120"/>
      <c r="G14" s="121" t="s">
        <v>339</v>
      </c>
      <c r="H14" s="122">
        <v>100000</v>
      </c>
      <c r="I14" s="119"/>
      <c r="J14" s="119"/>
    </row>
    <row r="15" spans="2:10" ht="17.25" customHeight="1">
      <c r="B15" s="121" t="s">
        <v>340</v>
      </c>
      <c r="C15" s="122">
        <v>426610500</v>
      </c>
      <c r="D15" s="119"/>
      <c r="E15" s="119"/>
      <c r="F15" s="120"/>
      <c r="G15" s="121" t="s">
        <v>341</v>
      </c>
      <c r="H15" s="122">
        <v>4163018</v>
      </c>
      <c r="I15" s="119"/>
      <c r="J15" s="122"/>
    </row>
    <row r="16" spans="2:10" ht="17.25" customHeight="1">
      <c r="B16" s="121"/>
      <c r="C16" s="122"/>
      <c r="D16" s="119"/>
      <c r="E16" s="119"/>
      <c r="F16" s="120"/>
      <c r="G16" s="121" t="s">
        <v>497</v>
      </c>
      <c r="H16" s="122">
        <v>1985840</v>
      </c>
      <c r="I16" s="119"/>
      <c r="J16" s="122">
        <f>SUM(H9:H16)</f>
        <v>11981436672.380001</v>
      </c>
    </row>
    <row r="17" spans="2:10" ht="15.2" customHeight="1">
      <c r="B17" s="121" t="s">
        <v>342</v>
      </c>
      <c r="C17" s="119" t="s">
        <v>343</v>
      </c>
      <c r="D17" s="119"/>
      <c r="E17" s="122">
        <f>SUM(C14:C17)</f>
        <v>4451152300</v>
      </c>
      <c r="F17" s="120"/>
      <c r="G17" s="121"/>
      <c r="H17" s="119"/>
      <c r="I17" s="119"/>
      <c r="J17" s="119"/>
    </row>
    <row r="18" spans="2:10" ht="15.2" customHeight="1">
      <c r="B18" s="121"/>
      <c r="C18" s="119"/>
      <c r="D18" s="119"/>
      <c r="E18" s="119"/>
      <c r="F18" s="120">
        <v>2</v>
      </c>
      <c r="G18" s="118" t="s">
        <v>21</v>
      </c>
      <c r="H18" s="122">
        <v>3350000000</v>
      </c>
      <c r="I18" s="119"/>
      <c r="J18" s="122">
        <f>+H18</f>
        <v>3350000000</v>
      </c>
    </row>
    <row r="19" spans="2:10" ht="15.2" customHeight="1">
      <c r="B19" s="118" t="s">
        <v>344</v>
      </c>
      <c r="C19" s="119" t="s">
        <v>2</v>
      </c>
      <c r="D19" s="119"/>
      <c r="E19" s="119"/>
      <c r="F19" s="120"/>
      <c r="G19" s="121"/>
      <c r="H19" s="119"/>
      <c r="I19" s="119"/>
      <c r="J19" s="119"/>
    </row>
    <row r="20" spans="2:10" ht="17.25" customHeight="1">
      <c r="B20" s="121" t="s">
        <v>54</v>
      </c>
      <c r="C20" s="122">
        <v>5046178825.75</v>
      </c>
      <c r="D20" s="122">
        <f>+C20</f>
        <v>5046178825.75</v>
      </c>
      <c r="E20" s="119"/>
      <c r="F20" s="120">
        <v>3</v>
      </c>
      <c r="G20" s="118" t="s">
        <v>22</v>
      </c>
      <c r="H20" s="119" t="s">
        <v>2</v>
      </c>
      <c r="I20" s="119"/>
      <c r="J20" s="119"/>
    </row>
    <row r="21" spans="2:10" ht="17.25" customHeight="1">
      <c r="B21" s="121" t="s">
        <v>345</v>
      </c>
      <c r="C21" s="119" t="s">
        <v>2</v>
      </c>
      <c r="D21" s="119"/>
      <c r="E21" s="119"/>
      <c r="F21" s="120"/>
      <c r="G21" s="121" t="s">
        <v>346</v>
      </c>
      <c r="H21" s="119" t="s">
        <v>2</v>
      </c>
      <c r="I21" s="119"/>
      <c r="J21" s="119"/>
    </row>
    <row r="22" spans="2:10" ht="17.25" customHeight="1">
      <c r="B22" s="121" t="s">
        <v>347</v>
      </c>
      <c r="C22" s="122">
        <v>496139978.39999998</v>
      </c>
      <c r="D22" s="119"/>
      <c r="E22" s="119"/>
      <c r="F22" s="120"/>
      <c r="G22" s="121" t="s">
        <v>117</v>
      </c>
      <c r="H22" s="122">
        <v>10965122293</v>
      </c>
      <c r="I22" s="122">
        <f>+H22</f>
        <v>10965122293</v>
      </c>
      <c r="J22" s="119"/>
    </row>
    <row r="23" spans="2:10" ht="17.25" customHeight="1">
      <c r="B23" s="121" t="s">
        <v>348</v>
      </c>
      <c r="C23" s="122">
        <v>77306000</v>
      </c>
      <c r="D23" s="122">
        <f>SUM(C22:C23)</f>
        <v>573445978.39999998</v>
      </c>
      <c r="E23" s="119"/>
      <c r="F23" s="120"/>
      <c r="G23" s="121" t="s">
        <v>118</v>
      </c>
      <c r="H23" s="122">
        <v>11174570000</v>
      </c>
      <c r="I23" s="119"/>
      <c r="J23" s="119"/>
    </row>
    <row r="24" spans="2:10" ht="17.25" customHeight="1">
      <c r="B24" s="121" t="s">
        <v>349</v>
      </c>
      <c r="C24" s="122">
        <v>71491850.260000005</v>
      </c>
      <c r="D24" s="122">
        <f>+C24</f>
        <v>71491850.260000005</v>
      </c>
      <c r="E24" s="119"/>
      <c r="F24" s="120"/>
      <c r="G24" s="121" t="s">
        <v>350</v>
      </c>
      <c r="H24" s="119" t="s">
        <v>2</v>
      </c>
      <c r="I24" s="119"/>
      <c r="J24" s="119"/>
    </row>
    <row r="25" spans="2:10" ht="17.25" customHeight="1">
      <c r="B25" s="121" t="s">
        <v>351</v>
      </c>
      <c r="C25" s="119" t="s">
        <v>2</v>
      </c>
      <c r="D25" s="119"/>
      <c r="E25" s="119"/>
      <c r="F25" s="120"/>
      <c r="G25" s="121" t="s">
        <v>117</v>
      </c>
      <c r="H25" s="122">
        <v>16314642495.67</v>
      </c>
      <c r="I25" s="122">
        <f>+H25</f>
        <v>16314642495.67</v>
      </c>
      <c r="J25" s="119"/>
    </row>
    <row r="26" spans="2:10" ht="17.25" customHeight="1">
      <c r="B26" s="121" t="s">
        <v>352</v>
      </c>
      <c r="C26" s="122">
        <v>50000000</v>
      </c>
      <c r="D26" s="119"/>
      <c r="E26" s="119"/>
      <c r="F26" s="120"/>
      <c r="G26" s="121" t="s">
        <v>118</v>
      </c>
      <c r="H26" s="122">
        <v>15902050000</v>
      </c>
      <c r="I26" s="119" t="s">
        <v>343</v>
      </c>
      <c r="J26" s="119"/>
    </row>
    <row r="27" spans="2:10" ht="17.25" customHeight="1">
      <c r="B27" s="121" t="s">
        <v>353</v>
      </c>
      <c r="C27" s="122">
        <v>190788080.86000001</v>
      </c>
      <c r="D27" s="119"/>
      <c r="E27" s="119"/>
      <c r="F27" s="120"/>
      <c r="G27" s="121" t="s">
        <v>354</v>
      </c>
      <c r="H27" s="119" t="s">
        <v>2</v>
      </c>
      <c r="I27" s="119"/>
      <c r="J27" s="119"/>
    </row>
    <row r="28" spans="2:10" ht="17.25" customHeight="1">
      <c r="B28" s="121" t="s">
        <v>355</v>
      </c>
      <c r="C28" s="122">
        <v>20527383.969999999</v>
      </c>
      <c r="D28" s="119"/>
      <c r="E28" s="119"/>
      <c r="F28" s="120"/>
      <c r="G28" s="121" t="s">
        <v>117</v>
      </c>
      <c r="H28" s="122">
        <v>151566000</v>
      </c>
      <c r="I28" s="122">
        <f>+H28</f>
        <v>151566000</v>
      </c>
      <c r="J28" s="119"/>
    </row>
    <row r="29" spans="2:10" ht="17.25" customHeight="1">
      <c r="B29" s="121" t="s">
        <v>356</v>
      </c>
      <c r="C29" s="122">
        <v>532556354.93000001</v>
      </c>
      <c r="D29" s="119"/>
      <c r="E29" s="119"/>
      <c r="F29" s="120"/>
      <c r="G29" s="121" t="s">
        <v>118</v>
      </c>
      <c r="H29" s="122">
        <v>151566000</v>
      </c>
      <c r="I29" s="119"/>
      <c r="J29" s="119"/>
    </row>
    <row r="30" spans="2:10" ht="17.25" customHeight="1">
      <c r="B30" s="121" t="s">
        <v>357</v>
      </c>
      <c r="C30" s="122">
        <v>121589726.55</v>
      </c>
      <c r="D30" s="119"/>
      <c r="E30" s="119"/>
      <c r="F30" s="120"/>
      <c r="G30" s="121" t="s">
        <v>358</v>
      </c>
      <c r="H30" s="119" t="s">
        <v>2</v>
      </c>
      <c r="I30" s="119"/>
      <c r="J30" s="119"/>
    </row>
    <row r="31" spans="2:10" ht="17.25" customHeight="1">
      <c r="B31" s="121" t="s">
        <v>359</v>
      </c>
      <c r="C31" s="122">
        <v>90329451.659999996</v>
      </c>
      <c r="D31" s="119"/>
      <c r="E31" s="119"/>
      <c r="F31" s="120"/>
      <c r="G31" s="121" t="s">
        <v>117</v>
      </c>
      <c r="H31" s="122">
        <v>6715675000</v>
      </c>
      <c r="I31" s="122">
        <f>+H31</f>
        <v>6715675000</v>
      </c>
      <c r="J31" s="119"/>
    </row>
    <row r="32" spans="2:10" ht="17.25" customHeight="1">
      <c r="B32" s="121" t="s">
        <v>360</v>
      </c>
      <c r="C32" s="122">
        <v>2955148.37</v>
      </c>
      <c r="D32" s="119"/>
      <c r="E32" s="119"/>
      <c r="F32" s="120"/>
      <c r="G32" s="121" t="s">
        <v>118</v>
      </c>
      <c r="H32" s="122">
        <v>6580000000</v>
      </c>
      <c r="I32" s="119"/>
      <c r="J32" s="122">
        <f>+I31+I28+I25+I22</f>
        <v>34147005788.669998</v>
      </c>
    </row>
    <row r="33" spans="2:10" ht="15.2" customHeight="1">
      <c r="B33" s="121" t="s">
        <v>361</v>
      </c>
      <c r="C33" s="122">
        <v>16143821.960000001</v>
      </c>
      <c r="D33" s="119"/>
      <c r="E33" s="119"/>
      <c r="F33" s="120"/>
      <c r="G33" s="121"/>
      <c r="H33" s="119"/>
      <c r="I33" s="119"/>
      <c r="J33" s="119"/>
    </row>
    <row r="34" spans="2:10" ht="17.25" customHeight="1">
      <c r="B34" s="121" t="s">
        <v>362</v>
      </c>
      <c r="C34" s="122">
        <v>5456117.8099999996</v>
      </c>
      <c r="D34" s="119"/>
      <c r="E34" s="119"/>
      <c r="F34" s="120">
        <v>4</v>
      </c>
      <c r="G34" s="118" t="s">
        <v>23</v>
      </c>
      <c r="H34" s="119" t="s">
        <v>2</v>
      </c>
      <c r="I34" s="119"/>
      <c r="J34" s="119"/>
    </row>
    <row r="35" spans="2:10" ht="17.25" customHeight="1">
      <c r="B35" s="121" t="s">
        <v>363</v>
      </c>
      <c r="C35" s="122">
        <v>2305568.73</v>
      </c>
      <c r="D35" s="119"/>
      <c r="E35" s="119"/>
      <c r="F35" s="120"/>
      <c r="G35" s="121" t="s">
        <v>364</v>
      </c>
      <c r="H35" s="119" t="s">
        <v>2</v>
      </c>
      <c r="I35" s="119"/>
      <c r="J35" s="119"/>
    </row>
    <row r="36" spans="2:10" ht="17.25" customHeight="1">
      <c r="B36" s="121" t="s">
        <v>365</v>
      </c>
      <c r="C36" s="122">
        <v>1116437</v>
      </c>
      <c r="D36" s="119"/>
      <c r="E36" s="119"/>
      <c r="F36" s="120"/>
      <c r="G36" s="121" t="s">
        <v>366</v>
      </c>
      <c r="H36" s="122">
        <v>48523122000</v>
      </c>
      <c r="I36" s="119"/>
      <c r="J36" s="119"/>
    </row>
    <row r="37" spans="2:10" ht="17.25" customHeight="1">
      <c r="B37" s="121" t="s">
        <v>367</v>
      </c>
      <c r="C37" s="122">
        <v>20704054.280000001</v>
      </c>
      <c r="D37" s="119"/>
      <c r="E37" s="119"/>
      <c r="F37" s="120"/>
      <c r="G37" s="121" t="s">
        <v>368</v>
      </c>
      <c r="H37" s="122">
        <v>1757017000</v>
      </c>
      <c r="I37" s="119"/>
      <c r="J37" s="119"/>
    </row>
    <row r="38" spans="2:10" ht="17.25" customHeight="1">
      <c r="B38" s="121" t="s">
        <v>369</v>
      </c>
      <c r="C38" s="122">
        <v>5786000</v>
      </c>
      <c r="D38" s="119"/>
      <c r="E38" s="119"/>
      <c r="F38" s="120"/>
      <c r="G38" s="121" t="s">
        <v>370</v>
      </c>
      <c r="H38" s="122">
        <v>2774745200</v>
      </c>
      <c r="I38" s="119"/>
      <c r="J38" s="119"/>
    </row>
    <row r="39" spans="2:10" ht="17.25" customHeight="1">
      <c r="B39" s="121" t="s">
        <v>371</v>
      </c>
      <c r="C39" s="122">
        <v>2830000</v>
      </c>
      <c r="D39" s="119"/>
      <c r="E39" s="119"/>
      <c r="F39" s="120"/>
      <c r="G39" s="121" t="s">
        <v>372</v>
      </c>
      <c r="H39" s="122">
        <v>947426553.29999995</v>
      </c>
      <c r="I39" s="119"/>
      <c r="J39" s="119"/>
    </row>
    <row r="40" spans="2:10" ht="17.25" customHeight="1">
      <c r="B40" s="121" t="s">
        <v>502</v>
      </c>
      <c r="C40" s="122">
        <v>5000000</v>
      </c>
      <c r="D40" s="119"/>
      <c r="E40" s="119"/>
      <c r="F40" s="120"/>
      <c r="G40" s="121" t="s">
        <v>373</v>
      </c>
      <c r="H40" s="122">
        <v>130311547</v>
      </c>
      <c r="I40" s="119"/>
      <c r="J40" s="119"/>
    </row>
    <row r="41" spans="2:10" ht="17.25" customHeight="1">
      <c r="B41" s="121" t="s">
        <v>374</v>
      </c>
      <c r="C41" s="119"/>
      <c r="D41" s="119"/>
      <c r="E41" s="119"/>
      <c r="F41" s="120"/>
      <c r="G41" s="121" t="s">
        <v>375</v>
      </c>
      <c r="H41" s="122">
        <v>3331873936.3400002</v>
      </c>
      <c r="I41" s="119"/>
      <c r="J41" s="119"/>
    </row>
    <row r="42" spans="2:10" ht="17.25" customHeight="1">
      <c r="B42" s="121" t="s">
        <v>376</v>
      </c>
      <c r="C42" s="122">
        <v>18824798.02</v>
      </c>
      <c r="D42" s="119"/>
      <c r="E42" s="119"/>
      <c r="F42" s="120"/>
      <c r="G42" s="121" t="s">
        <v>377</v>
      </c>
      <c r="H42" s="122">
        <v>35476406</v>
      </c>
      <c r="I42" s="119"/>
      <c r="J42" s="119"/>
    </row>
    <row r="43" spans="2:10" ht="17.25" customHeight="1">
      <c r="B43" s="121" t="s">
        <v>378</v>
      </c>
      <c r="C43" s="122">
        <v>605162032.25999999</v>
      </c>
      <c r="D43" s="119"/>
      <c r="E43" s="119"/>
      <c r="F43" s="120"/>
      <c r="G43" s="121" t="s">
        <v>379</v>
      </c>
      <c r="H43" s="119">
        <v>0</v>
      </c>
      <c r="I43" s="119"/>
      <c r="J43" s="119"/>
    </row>
    <row r="44" spans="2:10" ht="17.25" customHeight="1">
      <c r="B44" s="121" t="s">
        <v>380</v>
      </c>
      <c r="C44" s="122">
        <v>101750560</v>
      </c>
      <c r="D44" s="122">
        <f>SUM(C26:C44)</f>
        <v>1793825536.3999999</v>
      </c>
      <c r="E44" s="122">
        <f>+D44+D24+D23+D20</f>
        <v>7484942190.8099995</v>
      </c>
      <c r="F44" s="120"/>
      <c r="G44" s="121" t="s">
        <v>381</v>
      </c>
      <c r="H44" s="122">
        <v>5640482</v>
      </c>
      <c r="I44" s="119"/>
      <c r="J44" s="119"/>
    </row>
    <row r="45" spans="2:10" ht="15.2" customHeight="1">
      <c r="B45" s="121"/>
      <c r="C45" s="119"/>
      <c r="D45" s="119"/>
      <c r="E45" s="119"/>
      <c r="F45" s="120"/>
      <c r="G45" s="121" t="s">
        <v>382</v>
      </c>
      <c r="H45" s="119">
        <v>0</v>
      </c>
      <c r="I45" s="119"/>
      <c r="J45" s="119"/>
    </row>
    <row r="46" spans="2:10" ht="17.25" customHeight="1">
      <c r="B46" s="118" t="s">
        <v>16</v>
      </c>
      <c r="C46" s="119" t="s">
        <v>2</v>
      </c>
      <c r="D46" s="119"/>
      <c r="E46" s="119"/>
      <c r="F46" s="120"/>
      <c r="G46" s="121" t="s">
        <v>383</v>
      </c>
      <c r="H46" s="119">
        <v>32563</v>
      </c>
      <c r="I46" s="122">
        <f>SUM(H36:H46)</f>
        <v>57505645687.639999</v>
      </c>
      <c r="J46" s="119"/>
    </row>
    <row r="47" spans="2:10" ht="17.25" customHeight="1">
      <c r="B47" s="121" t="s">
        <v>384</v>
      </c>
      <c r="C47" s="119" t="s">
        <v>2</v>
      </c>
      <c r="D47" s="119"/>
      <c r="E47" s="119"/>
      <c r="F47" s="120"/>
      <c r="G47" s="121" t="s">
        <v>385</v>
      </c>
      <c r="H47" s="119" t="s">
        <v>2</v>
      </c>
      <c r="I47" s="119"/>
      <c r="J47" s="119"/>
    </row>
    <row r="48" spans="2:10" ht="17.25" customHeight="1">
      <c r="B48" s="121" t="s">
        <v>386</v>
      </c>
      <c r="C48" s="122">
        <v>25206390087.599998</v>
      </c>
      <c r="D48" s="119"/>
      <c r="E48" s="119"/>
      <c r="F48" s="120"/>
      <c r="G48" s="121" t="s">
        <v>387</v>
      </c>
      <c r="H48" s="122">
        <v>0</v>
      </c>
      <c r="I48" s="119"/>
      <c r="J48" s="119"/>
    </row>
    <row r="49" spans="2:10" ht="17.25" customHeight="1">
      <c r="B49" s="121" t="s">
        <v>388</v>
      </c>
      <c r="C49" s="122">
        <v>3180757726.4000001</v>
      </c>
      <c r="D49" s="119"/>
      <c r="E49" s="119"/>
      <c r="F49" s="120"/>
      <c r="G49" s="121" t="s">
        <v>389</v>
      </c>
      <c r="H49" s="122">
        <v>4522142.58</v>
      </c>
      <c r="I49" s="119"/>
      <c r="J49" s="119"/>
    </row>
    <row r="50" spans="2:10" ht="17.25" customHeight="1">
      <c r="B50" s="121" t="s">
        <v>390</v>
      </c>
      <c r="C50" s="122">
        <v>10433219459.74</v>
      </c>
      <c r="D50" s="119"/>
      <c r="E50" s="119"/>
      <c r="F50" s="120"/>
      <c r="G50" s="121" t="s">
        <v>391</v>
      </c>
      <c r="H50" s="122">
        <v>19367738.039999999</v>
      </c>
      <c r="I50" s="119"/>
      <c r="J50" s="119"/>
    </row>
    <row r="51" spans="2:10" ht="17.25" customHeight="1">
      <c r="B51" s="121" t="s">
        <v>392</v>
      </c>
      <c r="C51" s="122">
        <v>16492058986.790001</v>
      </c>
      <c r="D51" s="122">
        <f>SUM(C48:C51)</f>
        <v>55312426260.529999</v>
      </c>
      <c r="E51" s="119"/>
      <c r="F51" s="120"/>
      <c r="G51" s="121" t="s">
        <v>498</v>
      </c>
      <c r="H51" s="122">
        <v>280000000</v>
      </c>
      <c r="I51" s="119"/>
      <c r="J51" s="119"/>
    </row>
    <row r="52" spans="2:10" ht="17.25" customHeight="1">
      <c r="B52" s="121" t="s">
        <v>393</v>
      </c>
      <c r="C52" s="119" t="s">
        <v>2</v>
      </c>
      <c r="D52" s="119"/>
      <c r="E52" s="119"/>
      <c r="F52" s="120"/>
      <c r="G52" s="121" t="s">
        <v>499</v>
      </c>
      <c r="H52" s="122">
        <v>2004056163</v>
      </c>
      <c r="I52" s="119"/>
      <c r="J52" s="119"/>
    </row>
    <row r="53" spans="2:10" ht="17.25" customHeight="1">
      <c r="B53" s="121" t="s">
        <v>386</v>
      </c>
      <c r="C53" s="122">
        <v>5561114583.3800001</v>
      </c>
      <c r="D53" s="119"/>
      <c r="E53" s="119"/>
      <c r="F53" s="120"/>
      <c r="G53" s="121" t="s">
        <v>394</v>
      </c>
      <c r="H53" s="122">
        <v>3471478745</v>
      </c>
      <c r="I53" s="119"/>
      <c r="J53" s="119"/>
    </row>
    <row r="54" spans="2:10" ht="17.25" customHeight="1">
      <c r="B54" s="121" t="s">
        <v>388</v>
      </c>
      <c r="C54" s="122">
        <v>473254118.82999998</v>
      </c>
      <c r="D54" s="119"/>
      <c r="E54" s="119"/>
      <c r="F54" s="120"/>
      <c r="G54" s="121" t="s">
        <v>395</v>
      </c>
      <c r="H54" s="122">
        <v>8000000000</v>
      </c>
      <c r="I54" s="122">
        <f>SUM(H48:H54)</f>
        <v>13779424788.619999</v>
      </c>
      <c r="J54" s="119"/>
    </row>
    <row r="55" spans="2:10" ht="17.25" customHeight="1">
      <c r="B55" s="121" t="s">
        <v>390</v>
      </c>
      <c r="C55" s="122">
        <v>868304.15</v>
      </c>
      <c r="D55" s="122">
        <f>SUM(C53:C55)</f>
        <v>6035237006.3599997</v>
      </c>
      <c r="E55" s="119"/>
      <c r="F55" s="120"/>
      <c r="G55" s="121" t="s">
        <v>396</v>
      </c>
      <c r="H55" s="119" t="s">
        <v>2</v>
      </c>
      <c r="I55" s="119"/>
      <c r="J55" s="119"/>
    </row>
    <row r="56" spans="2:10" ht="17.25" customHeight="1">
      <c r="B56" s="121" t="s">
        <v>397</v>
      </c>
      <c r="C56" s="119" t="s">
        <v>2</v>
      </c>
      <c r="D56" s="119"/>
      <c r="E56" s="119"/>
      <c r="F56" s="120"/>
      <c r="G56" s="121" t="s">
        <v>386</v>
      </c>
      <c r="H56" s="122">
        <v>281964.96999999997</v>
      </c>
      <c r="I56" s="119"/>
      <c r="J56" s="119"/>
    </row>
    <row r="57" spans="2:10" ht="17.25" customHeight="1">
      <c r="B57" s="121" t="s">
        <v>386</v>
      </c>
      <c r="C57" s="122">
        <v>610702394.28999996</v>
      </c>
      <c r="D57" s="119"/>
      <c r="E57" s="119"/>
      <c r="F57" s="120"/>
      <c r="G57" s="121" t="s">
        <v>388</v>
      </c>
      <c r="H57" s="122">
        <v>2856666.09</v>
      </c>
      <c r="I57" s="119"/>
      <c r="J57" s="119"/>
    </row>
    <row r="58" spans="2:10" ht="17.25" customHeight="1">
      <c r="B58" s="121" t="s">
        <v>388</v>
      </c>
      <c r="C58" s="122">
        <v>228295153.09999999</v>
      </c>
      <c r="D58" s="119"/>
      <c r="E58" s="119"/>
      <c r="F58" s="120"/>
      <c r="G58" s="121" t="s">
        <v>390</v>
      </c>
      <c r="H58" s="119">
        <v>1653203.68</v>
      </c>
      <c r="I58" s="119"/>
      <c r="J58" s="119"/>
    </row>
    <row r="59" spans="2:10" ht="17.25" customHeight="1">
      <c r="B59" s="121" t="s">
        <v>390</v>
      </c>
      <c r="C59" s="122">
        <v>1333983358.3900001</v>
      </c>
      <c r="D59" s="119"/>
      <c r="E59" s="119"/>
      <c r="F59" s="120"/>
      <c r="G59" s="121" t="s">
        <v>398</v>
      </c>
      <c r="H59" s="122">
        <v>185553567.44</v>
      </c>
      <c r="I59" s="122">
        <f>SUM(H56:H59)</f>
        <v>190345402.18000001</v>
      </c>
      <c r="J59" s="119"/>
    </row>
    <row r="60" spans="2:10" ht="17.25" customHeight="1">
      <c r="B60" s="121" t="s">
        <v>392</v>
      </c>
      <c r="C60" s="122">
        <v>4523944510.4200001</v>
      </c>
      <c r="D60" s="119"/>
      <c r="E60" s="119"/>
      <c r="F60" s="120"/>
      <c r="G60" s="121" t="s">
        <v>399</v>
      </c>
      <c r="H60" s="119" t="s">
        <v>2</v>
      </c>
      <c r="I60" s="119"/>
      <c r="J60" s="119"/>
    </row>
    <row r="61" spans="2:10" ht="17.25" customHeight="1">
      <c r="B61" s="121" t="s">
        <v>400</v>
      </c>
      <c r="C61" s="122">
        <v>3249457.02</v>
      </c>
      <c r="D61" s="122">
        <f>SUM(C57:C61)</f>
        <v>6700174873.2200012</v>
      </c>
      <c r="E61" s="119"/>
      <c r="F61" s="120"/>
      <c r="G61" s="121" t="s">
        <v>401</v>
      </c>
      <c r="H61" s="122">
        <v>4344689699</v>
      </c>
      <c r="I61" s="119"/>
      <c r="J61" s="119"/>
    </row>
    <row r="62" spans="2:10" ht="17.25" customHeight="1">
      <c r="B62" s="121" t="s">
        <v>402</v>
      </c>
      <c r="C62" s="119" t="s">
        <v>2</v>
      </c>
      <c r="D62" s="119"/>
      <c r="E62" s="119"/>
      <c r="F62" s="120"/>
      <c r="G62" s="121" t="s">
        <v>403</v>
      </c>
      <c r="H62" s="122">
        <v>5076196013</v>
      </c>
      <c r="I62" s="119"/>
      <c r="J62" s="119"/>
    </row>
    <row r="63" spans="2:10" ht="17.25" customHeight="1">
      <c r="B63" s="121" t="s">
        <v>388</v>
      </c>
      <c r="C63" s="122">
        <v>1930757472.4000001</v>
      </c>
      <c r="D63" s="119"/>
      <c r="E63" s="119"/>
      <c r="F63" s="120"/>
      <c r="G63" s="121" t="s">
        <v>404</v>
      </c>
      <c r="H63" s="122">
        <v>3002453721</v>
      </c>
      <c r="I63" s="119"/>
      <c r="J63" s="119"/>
    </row>
    <row r="64" spans="2:10" ht="17.25" customHeight="1">
      <c r="B64" s="121" t="s">
        <v>390</v>
      </c>
      <c r="C64" s="122">
        <v>2207737906.9499998</v>
      </c>
      <c r="D64" s="119"/>
      <c r="E64" s="119"/>
      <c r="F64" s="120"/>
      <c r="G64" s="121" t="s">
        <v>405</v>
      </c>
      <c r="H64" s="122">
        <v>322906919</v>
      </c>
      <c r="I64" s="119"/>
      <c r="J64" s="119"/>
    </row>
    <row r="65" spans="2:10" ht="17.25" customHeight="1">
      <c r="B65" s="121" t="s">
        <v>392</v>
      </c>
      <c r="C65" s="122">
        <v>3504249552.96</v>
      </c>
      <c r="D65" s="122">
        <f>SUM(C63:C65)</f>
        <v>7642744932.3099995</v>
      </c>
      <c r="E65" s="119"/>
      <c r="F65" s="120"/>
      <c r="G65" s="121" t="s">
        <v>406</v>
      </c>
      <c r="H65" s="122">
        <v>187537999</v>
      </c>
      <c r="I65" s="119"/>
      <c r="J65" s="119"/>
    </row>
    <row r="66" spans="2:10" ht="17.25" customHeight="1">
      <c r="B66" s="121" t="s">
        <v>407</v>
      </c>
      <c r="C66" s="119" t="s">
        <v>2</v>
      </c>
      <c r="D66" s="119"/>
      <c r="E66" s="119"/>
      <c r="F66" s="120"/>
      <c r="G66" s="121" t="s">
        <v>408</v>
      </c>
      <c r="H66" s="122">
        <v>189479</v>
      </c>
      <c r="I66" s="119"/>
      <c r="J66" s="119"/>
    </row>
    <row r="67" spans="2:10" ht="17.25" customHeight="1">
      <c r="B67" s="121" t="s">
        <v>386</v>
      </c>
      <c r="C67" s="122">
        <v>11550705242.110001</v>
      </c>
      <c r="D67" s="119"/>
      <c r="E67" s="119"/>
      <c r="F67" s="120"/>
      <c r="G67" s="121" t="s">
        <v>409</v>
      </c>
      <c r="H67" s="119">
        <v>460495</v>
      </c>
      <c r="I67" s="119"/>
      <c r="J67" s="119"/>
    </row>
    <row r="68" spans="2:10" ht="17.25" customHeight="1">
      <c r="B68" s="121" t="s">
        <v>388</v>
      </c>
      <c r="C68" s="122">
        <v>3710516429.4699998</v>
      </c>
      <c r="D68" s="119"/>
      <c r="E68" s="119"/>
      <c r="F68" s="120"/>
      <c r="G68" s="121" t="s">
        <v>410</v>
      </c>
      <c r="H68" s="119">
        <v>144604</v>
      </c>
      <c r="I68" s="119"/>
      <c r="J68" s="119"/>
    </row>
    <row r="69" spans="2:10" ht="17.25" customHeight="1">
      <c r="B69" s="121" t="s">
        <v>390</v>
      </c>
      <c r="C69" s="122">
        <v>400561326</v>
      </c>
      <c r="D69" s="119"/>
      <c r="E69" s="119"/>
      <c r="F69" s="120"/>
      <c r="G69" s="121" t="s">
        <v>411</v>
      </c>
      <c r="H69" s="122">
        <v>269069393.37</v>
      </c>
      <c r="I69" s="119"/>
      <c r="J69" s="119"/>
    </row>
    <row r="70" spans="2:10" ht="17.25" customHeight="1">
      <c r="B70" s="121" t="s">
        <v>392</v>
      </c>
      <c r="C70" s="122">
        <v>20084524</v>
      </c>
      <c r="D70" s="122">
        <f>SUM(C67:C70)</f>
        <v>15681867521.58</v>
      </c>
      <c r="E70" s="119"/>
      <c r="F70" s="120"/>
      <c r="G70" s="121" t="s">
        <v>412</v>
      </c>
      <c r="H70" s="122">
        <v>500000</v>
      </c>
      <c r="I70" s="122">
        <f>SUM(H61:H70)</f>
        <v>13204148322.370001</v>
      </c>
      <c r="J70" s="119"/>
    </row>
    <row r="71" spans="2:10" ht="17.25" customHeight="1">
      <c r="B71" s="121" t="s">
        <v>413</v>
      </c>
      <c r="C71" s="119" t="s">
        <v>2</v>
      </c>
      <c r="D71" s="119"/>
      <c r="E71" s="119"/>
      <c r="F71" s="120"/>
      <c r="G71" s="121" t="s">
        <v>414</v>
      </c>
      <c r="H71" s="119" t="s">
        <v>2</v>
      </c>
      <c r="I71" s="119"/>
      <c r="J71" s="119"/>
    </row>
    <row r="72" spans="2:10" ht="17.25" customHeight="1">
      <c r="B72" s="121" t="s">
        <v>415</v>
      </c>
      <c r="C72" s="122">
        <v>124807731</v>
      </c>
      <c r="D72" s="119"/>
      <c r="E72" s="119"/>
      <c r="F72" s="120"/>
      <c r="G72" s="121" t="s">
        <v>416</v>
      </c>
      <c r="H72" s="122">
        <v>248765373</v>
      </c>
      <c r="I72" s="119"/>
      <c r="J72" s="119"/>
    </row>
    <row r="73" spans="2:10" ht="17.25" customHeight="1">
      <c r="B73" s="121" t="s">
        <v>417</v>
      </c>
      <c r="C73" s="122">
        <v>2140000</v>
      </c>
      <c r="D73" s="119"/>
      <c r="E73" s="119"/>
      <c r="F73" s="120"/>
      <c r="G73" s="121" t="s">
        <v>418</v>
      </c>
      <c r="H73" s="122">
        <v>1641545420.1400001</v>
      </c>
      <c r="I73" s="119"/>
      <c r="J73" s="119"/>
    </row>
    <row r="74" spans="2:10" ht="17.25" customHeight="1">
      <c r="B74" s="121" t="s">
        <v>419</v>
      </c>
      <c r="C74" s="119">
        <v>0</v>
      </c>
      <c r="D74" s="119"/>
      <c r="E74" s="119"/>
      <c r="F74" s="120"/>
      <c r="G74" s="121" t="s">
        <v>420</v>
      </c>
      <c r="H74" s="122">
        <v>2424850159</v>
      </c>
      <c r="I74" s="119"/>
      <c r="J74" s="119"/>
    </row>
    <row r="75" spans="2:10" ht="17.25" customHeight="1">
      <c r="B75" s="121" t="s">
        <v>421</v>
      </c>
      <c r="C75" s="119">
        <v>0</v>
      </c>
      <c r="D75" s="119"/>
      <c r="E75" s="119"/>
      <c r="F75" s="120"/>
      <c r="G75" s="121" t="s">
        <v>422</v>
      </c>
      <c r="H75" s="122">
        <v>2302780858.5</v>
      </c>
      <c r="I75" s="119"/>
      <c r="J75" s="119"/>
    </row>
    <row r="76" spans="2:10" ht="17.25" customHeight="1">
      <c r="B76" s="121" t="s">
        <v>423</v>
      </c>
      <c r="C76" s="122">
        <v>14836787.49</v>
      </c>
      <c r="D76" s="119"/>
      <c r="E76" s="119"/>
      <c r="F76" s="120"/>
      <c r="G76" s="121" t="s">
        <v>424</v>
      </c>
      <c r="H76" s="122">
        <v>28864812</v>
      </c>
      <c r="I76" s="119"/>
      <c r="J76" s="119"/>
    </row>
    <row r="77" spans="2:10" ht="17.25" customHeight="1">
      <c r="B77" s="121" t="s">
        <v>425</v>
      </c>
      <c r="C77" s="119"/>
      <c r="D77" s="122">
        <f>SUM(C72:C77)</f>
        <v>141784518.49000001</v>
      </c>
      <c r="E77" s="122">
        <f>+D77+D70+D65+D61+D55+D51</f>
        <v>91514235112.48999</v>
      </c>
      <c r="F77" s="120"/>
      <c r="G77" s="121" t="s">
        <v>426</v>
      </c>
      <c r="H77" s="122">
        <v>4616086</v>
      </c>
      <c r="I77" s="119"/>
      <c r="J77" s="119"/>
    </row>
    <row r="78" spans="2:10" ht="15.2" customHeight="1">
      <c r="B78" s="121"/>
      <c r="C78" s="119"/>
      <c r="D78" s="119"/>
      <c r="E78" s="119"/>
      <c r="F78" s="120"/>
      <c r="G78" s="121" t="s">
        <v>427</v>
      </c>
      <c r="H78" s="122">
        <v>17831858734</v>
      </c>
      <c r="I78" s="122">
        <f>SUM(H72:H78)</f>
        <v>24483281442.639999</v>
      </c>
      <c r="J78" s="119"/>
    </row>
    <row r="79" spans="2:10" ht="17.25" customHeight="1">
      <c r="B79" s="118" t="s">
        <v>15</v>
      </c>
      <c r="C79" s="119" t="s">
        <v>2</v>
      </c>
      <c r="D79" s="119"/>
      <c r="E79" s="119"/>
      <c r="F79" s="120"/>
      <c r="G79" s="121" t="s">
        <v>428</v>
      </c>
      <c r="H79" s="119" t="s">
        <v>2</v>
      </c>
      <c r="I79" s="119"/>
      <c r="J79" s="119"/>
    </row>
    <row r="80" spans="2:10" ht="17.25" customHeight="1">
      <c r="B80" s="121" t="s">
        <v>429</v>
      </c>
      <c r="C80" s="119" t="s">
        <v>2</v>
      </c>
      <c r="D80" s="119"/>
      <c r="E80" s="119"/>
      <c r="F80" s="120"/>
      <c r="G80" s="121" t="s">
        <v>430</v>
      </c>
      <c r="H80" s="122">
        <v>529336</v>
      </c>
      <c r="I80" s="119"/>
      <c r="J80" s="119"/>
    </row>
    <row r="81" spans="2:12" ht="17.25" customHeight="1">
      <c r="B81" s="121" t="s">
        <v>431</v>
      </c>
      <c r="C81" s="122">
        <v>22140692180</v>
      </c>
      <c r="D81" s="119"/>
      <c r="E81" s="119"/>
      <c r="F81" s="120"/>
      <c r="G81" s="121" t="s">
        <v>432</v>
      </c>
      <c r="H81" s="122">
        <v>8879036</v>
      </c>
      <c r="I81" s="119"/>
      <c r="J81" s="119"/>
    </row>
    <row r="82" spans="2:12" ht="17.25" customHeight="1">
      <c r="B82" s="121" t="s">
        <v>433</v>
      </c>
      <c r="C82" s="122">
        <v>32620000000</v>
      </c>
      <c r="D82" s="119"/>
      <c r="E82" s="119"/>
      <c r="F82" s="120"/>
      <c r="G82" s="121" t="s">
        <v>434</v>
      </c>
      <c r="H82" s="122">
        <v>533156</v>
      </c>
      <c r="I82" s="119"/>
      <c r="J82" s="119"/>
    </row>
    <row r="83" spans="2:12" ht="17.25" customHeight="1">
      <c r="B83" s="121" t="s">
        <v>435</v>
      </c>
      <c r="C83" s="122">
        <v>1120000000</v>
      </c>
      <c r="D83" s="119"/>
      <c r="E83" s="119"/>
      <c r="F83" s="120"/>
      <c r="G83" s="121" t="s">
        <v>436</v>
      </c>
      <c r="H83" s="122">
        <v>514000</v>
      </c>
      <c r="I83" s="122">
        <f>SUM(H80:H83)</f>
        <v>10455528</v>
      </c>
      <c r="J83" s="122">
        <f>+I83+I78+I70+I59+I54+I46</f>
        <v>109173301171.45</v>
      </c>
    </row>
    <row r="84" spans="2:12" ht="15.2" customHeight="1">
      <c r="B84" s="121" t="s">
        <v>437</v>
      </c>
      <c r="C84" s="122">
        <v>760000000</v>
      </c>
      <c r="D84" s="119"/>
      <c r="E84" s="119"/>
      <c r="F84" s="120"/>
      <c r="G84" s="121"/>
      <c r="H84" s="119"/>
      <c r="I84" s="119"/>
      <c r="J84" s="119"/>
    </row>
    <row r="85" spans="2:12" ht="17.25" customHeight="1">
      <c r="B85" s="121" t="s">
        <v>438</v>
      </c>
      <c r="C85" s="122">
        <v>4345311188</v>
      </c>
      <c r="D85" s="119"/>
      <c r="E85" s="119"/>
      <c r="F85" s="120">
        <v>5</v>
      </c>
      <c r="G85" s="118" t="s">
        <v>439</v>
      </c>
      <c r="H85" s="119" t="s">
        <v>2</v>
      </c>
      <c r="I85" s="119"/>
      <c r="J85" s="119"/>
    </row>
    <row r="86" spans="2:12" ht="17.25" customHeight="1">
      <c r="B86" s="121" t="s">
        <v>440</v>
      </c>
      <c r="C86" s="122">
        <v>3002453721</v>
      </c>
      <c r="D86" s="119"/>
      <c r="E86" s="119"/>
      <c r="F86" s="120"/>
      <c r="G86" s="121" t="s">
        <v>441</v>
      </c>
      <c r="H86" s="122">
        <v>246594</v>
      </c>
      <c r="I86" s="119"/>
      <c r="J86" s="122">
        <f>+H86</f>
        <v>246594</v>
      </c>
    </row>
    <row r="87" spans="2:12" ht="15.2" customHeight="1">
      <c r="B87" s="121" t="s">
        <v>442</v>
      </c>
      <c r="C87" s="122">
        <v>323792601</v>
      </c>
      <c r="D87" s="122">
        <f>SUM(C81:C87)</f>
        <v>64312249690</v>
      </c>
      <c r="E87" s="119"/>
      <c r="F87" s="120"/>
      <c r="G87" s="121"/>
      <c r="H87" s="119"/>
      <c r="I87" s="119"/>
      <c r="J87" s="119"/>
    </row>
    <row r="88" spans="2:12" ht="17.25" customHeight="1">
      <c r="B88" s="121"/>
      <c r="C88" s="119" t="s">
        <v>2</v>
      </c>
      <c r="D88" s="119"/>
      <c r="E88" s="119"/>
      <c r="F88" s="120">
        <v>6</v>
      </c>
      <c r="G88" s="118" t="s">
        <v>443</v>
      </c>
      <c r="H88" s="122">
        <v>1811212750</v>
      </c>
      <c r="I88" s="119"/>
      <c r="J88" s="122">
        <f>+H88</f>
        <v>1811212750</v>
      </c>
    </row>
    <row r="89" spans="2:12" ht="15.2" customHeight="1">
      <c r="B89" s="121"/>
      <c r="C89" s="122"/>
      <c r="D89" s="122"/>
      <c r="E89" s="119"/>
      <c r="F89" s="120"/>
      <c r="G89" s="121"/>
      <c r="H89" s="119"/>
      <c r="I89" s="119"/>
      <c r="J89" s="119"/>
    </row>
    <row r="90" spans="2:12" ht="17.25" customHeight="1">
      <c r="B90" s="121" t="s">
        <v>444</v>
      </c>
      <c r="C90" s="119" t="s">
        <v>2</v>
      </c>
      <c r="D90" s="119"/>
      <c r="E90" s="119"/>
      <c r="F90" s="120">
        <v>7</v>
      </c>
      <c r="G90" s="118" t="s">
        <v>445</v>
      </c>
      <c r="H90" s="122">
        <v>7810068</v>
      </c>
      <c r="I90" s="119"/>
      <c r="J90" s="122">
        <f>+H90</f>
        <v>7810068</v>
      </c>
      <c r="L90" s="113">
        <v>6915093.54</v>
      </c>
    </row>
    <row r="91" spans="2:12" ht="15.2" customHeight="1">
      <c r="B91" s="121" t="s">
        <v>446</v>
      </c>
      <c r="C91" s="122">
        <v>17500000</v>
      </c>
      <c r="D91" s="122">
        <f>+C91</f>
        <v>17500000</v>
      </c>
      <c r="E91" s="122">
        <f>+D91+D87</f>
        <v>64329749690</v>
      </c>
      <c r="F91" s="120"/>
      <c r="G91" s="121"/>
      <c r="H91" s="119"/>
      <c r="I91" s="119"/>
      <c r="J91" s="119"/>
      <c r="L91" s="193">
        <f>+J90-L90</f>
        <v>894974.46</v>
      </c>
    </row>
    <row r="92" spans="2:12" ht="15.2" customHeight="1">
      <c r="B92" s="121"/>
      <c r="C92" s="119"/>
      <c r="D92" s="119"/>
      <c r="E92" s="119"/>
      <c r="F92" s="120">
        <v>8</v>
      </c>
      <c r="G92" s="118" t="s">
        <v>24</v>
      </c>
      <c r="H92" s="119" t="s">
        <v>2</v>
      </c>
      <c r="I92" s="119"/>
      <c r="J92" s="119"/>
    </row>
    <row r="93" spans="2:12" ht="17.25" customHeight="1">
      <c r="B93" s="118" t="s">
        <v>447</v>
      </c>
      <c r="C93" s="119" t="s">
        <v>2</v>
      </c>
      <c r="D93" s="119"/>
      <c r="E93" s="119"/>
      <c r="F93" s="120"/>
      <c r="G93" s="121" t="s">
        <v>448</v>
      </c>
      <c r="H93" s="122">
        <f>928059802+15518</f>
        <v>928075320</v>
      </c>
      <c r="I93" s="119"/>
      <c r="J93" s="119"/>
    </row>
    <row r="94" spans="2:12" ht="17.25" customHeight="1">
      <c r="B94" s="121" t="s">
        <v>441</v>
      </c>
      <c r="C94" s="122">
        <v>246594</v>
      </c>
      <c r="D94" s="119"/>
      <c r="E94" s="122">
        <f>+C94</f>
        <v>246594</v>
      </c>
      <c r="F94" s="120"/>
      <c r="G94" s="121" t="s">
        <v>449</v>
      </c>
      <c r="H94" s="122">
        <f>53515569+247104+128161+387647+260005</f>
        <v>54538486</v>
      </c>
      <c r="I94" s="119"/>
      <c r="J94" s="119"/>
    </row>
    <row r="95" spans="2:12" ht="15.2" customHeight="1">
      <c r="B95" s="121"/>
      <c r="C95" s="119"/>
      <c r="D95" s="119"/>
      <c r="E95" s="119"/>
      <c r="F95" s="120"/>
      <c r="G95" s="121" t="s">
        <v>450</v>
      </c>
      <c r="H95" s="122">
        <f>27216658.13+45083</f>
        <v>27261741.129999999</v>
      </c>
      <c r="I95" s="119"/>
      <c r="J95" s="119"/>
    </row>
    <row r="96" spans="2:12" ht="17.25" customHeight="1">
      <c r="B96" s="118" t="s">
        <v>451</v>
      </c>
      <c r="C96" s="122">
        <v>1811212750</v>
      </c>
      <c r="D96" s="119"/>
      <c r="E96" s="122">
        <f>+C96</f>
        <v>1811212750</v>
      </c>
      <c r="F96" s="120"/>
      <c r="G96" s="121" t="s">
        <v>452</v>
      </c>
      <c r="H96" s="122">
        <v>14154821.800000001</v>
      </c>
      <c r="I96" s="119"/>
      <c r="J96" s="122">
        <f>SUM(H93:H96)</f>
        <v>1024030368.9299999</v>
      </c>
    </row>
    <row r="97" spans="1:10" ht="13.35" customHeight="1">
      <c r="B97" s="123"/>
      <c r="C97" s="124"/>
      <c r="D97" s="124"/>
      <c r="E97" s="124"/>
      <c r="F97" s="125"/>
      <c r="G97" s="123"/>
      <c r="H97" s="124"/>
      <c r="I97" s="124"/>
      <c r="J97" s="124"/>
    </row>
    <row r="98" spans="1:10" ht="17.25" customHeight="1">
      <c r="B98" s="126" t="s">
        <v>19</v>
      </c>
      <c r="C98" s="127">
        <v>886708073</v>
      </c>
      <c r="D98" s="124"/>
      <c r="E98" s="127">
        <f>+C98</f>
        <v>886708073</v>
      </c>
      <c r="F98" s="125">
        <v>9</v>
      </c>
      <c r="G98" s="126" t="s">
        <v>25</v>
      </c>
      <c r="H98" s="124" t="s">
        <v>2</v>
      </c>
      <c r="I98" s="124"/>
      <c r="J98" s="124"/>
    </row>
    <row r="99" spans="1:10" ht="15.2" customHeight="1">
      <c r="B99" s="123"/>
      <c r="C99" s="124"/>
      <c r="D99" s="124"/>
      <c r="E99" s="124"/>
      <c r="F99" s="125"/>
      <c r="G99" s="123" t="s">
        <v>179</v>
      </c>
      <c r="H99" s="127">
        <v>119056.04</v>
      </c>
      <c r="I99" s="124"/>
      <c r="J99" s="124"/>
    </row>
    <row r="100" spans="1:10" ht="17.25" customHeight="1">
      <c r="B100" s="126" t="s">
        <v>12</v>
      </c>
      <c r="C100" s="124" t="s">
        <v>2</v>
      </c>
      <c r="D100" s="124"/>
      <c r="E100" s="124"/>
      <c r="F100" s="125"/>
      <c r="G100" s="123" t="s">
        <v>180</v>
      </c>
      <c r="H100" s="127">
        <v>10766774381.93</v>
      </c>
      <c r="I100" s="124"/>
      <c r="J100" s="124"/>
    </row>
    <row r="101" spans="1:10" ht="17.25" customHeight="1">
      <c r="A101" s="127"/>
      <c r="B101" s="123" t="s">
        <v>96</v>
      </c>
      <c r="C101" s="127">
        <v>67580149.400000006</v>
      </c>
      <c r="D101" s="124"/>
      <c r="E101" s="124"/>
      <c r="F101" s="125"/>
      <c r="G101" s="123" t="s">
        <v>181</v>
      </c>
      <c r="H101" s="127">
        <v>35778132.32</v>
      </c>
      <c r="I101" s="124"/>
      <c r="J101" s="124"/>
    </row>
    <row r="102" spans="1:10" ht="17.25" customHeight="1">
      <c r="A102" s="127"/>
      <c r="B102" s="123" t="s">
        <v>97</v>
      </c>
      <c r="C102" s="127">
        <f>112096114.35+27279292.15</f>
        <v>139375406.5</v>
      </c>
      <c r="D102" s="124"/>
      <c r="E102" s="124"/>
      <c r="F102" s="125"/>
      <c r="G102" s="123" t="s">
        <v>453</v>
      </c>
      <c r="H102" s="127">
        <v>1184692.45</v>
      </c>
      <c r="I102" s="124"/>
      <c r="J102" s="124"/>
    </row>
    <row r="103" spans="1:10" ht="17.25" customHeight="1">
      <c r="A103" s="127"/>
      <c r="B103" s="123" t="s">
        <v>98</v>
      </c>
      <c r="C103" s="127"/>
      <c r="D103" s="124"/>
      <c r="E103" s="124"/>
      <c r="F103" s="125"/>
      <c r="G103" s="123" t="s">
        <v>183</v>
      </c>
      <c r="H103" s="127">
        <v>1239207.47</v>
      </c>
      <c r="I103" s="124"/>
      <c r="J103" s="124"/>
    </row>
    <row r="104" spans="1:10" ht="17.25" customHeight="1">
      <c r="A104" s="127"/>
      <c r="B104" s="123" t="s">
        <v>37</v>
      </c>
      <c r="C104" s="127">
        <v>53174133.359999999</v>
      </c>
      <c r="D104" s="124"/>
      <c r="E104" s="124"/>
      <c r="F104" s="125"/>
      <c r="G104" s="123" t="s">
        <v>500</v>
      </c>
      <c r="H104" s="127">
        <f>4953146.43+4964261.42+16065</f>
        <v>9933472.8499999996</v>
      </c>
      <c r="I104" s="124"/>
      <c r="J104" s="124"/>
    </row>
    <row r="105" spans="1:10" ht="17.25" customHeight="1">
      <c r="A105" s="127"/>
      <c r="B105" s="123" t="s">
        <v>99</v>
      </c>
      <c r="C105" s="127">
        <v>5000000</v>
      </c>
      <c r="D105" s="124"/>
      <c r="E105" s="124"/>
      <c r="F105" s="125"/>
      <c r="G105" s="123" t="s">
        <v>454</v>
      </c>
      <c r="H105" s="127">
        <v>447348993.31999999</v>
      </c>
      <c r="I105" s="124"/>
      <c r="J105" s="127"/>
    </row>
    <row r="106" spans="1:10" ht="15.2" customHeight="1">
      <c r="A106" s="127"/>
      <c r="B106" s="123" t="s">
        <v>66</v>
      </c>
      <c r="C106" s="127">
        <v>76320262.549999997</v>
      </c>
      <c r="D106" s="124"/>
      <c r="E106" s="124"/>
      <c r="F106" s="125"/>
      <c r="G106" s="123" t="s">
        <v>501</v>
      </c>
      <c r="H106" s="124">
        <v>421182650</v>
      </c>
      <c r="I106" s="124"/>
      <c r="J106" s="124">
        <f>SUM(H99:H107)</f>
        <v>11688479776.790001</v>
      </c>
    </row>
    <row r="107" spans="1:10" ht="15.2" customHeight="1">
      <c r="A107" s="127"/>
      <c r="B107" s="123" t="s">
        <v>101</v>
      </c>
      <c r="C107" s="127">
        <v>55428445.380000003</v>
      </c>
      <c r="D107" s="124"/>
      <c r="E107" s="124"/>
      <c r="F107" s="125"/>
      <c r="G107" s="123" t="s">
        <v>524</v>
      </c>
      <c r="H107" s="124">
        <v>4919190.41</v>
      </c>
      <c r="I107" s="124"/>
      <c r="J107" s="124"/>
    </row>
    <row r="108" spans="1:10" ht="15.2" customHeight="1">
      <c r="A108" s="127"/>
      <c r="B108" s="123" t="s">
        <v>500</v>
      </c>
      <c r="C108" s="127">
        <f>4219991.5+4618483.5+169584+169584</f>
        <v>9177643</v>
      </c>
      <c r="D108" s="124"/>
      <c r="E108" s="124"/>
      <c r="F108" s="125"/>
      <c r="G108" s="123"/>
      <c r="H108" s="124"/>
      <c r="I108" s="124"/>
      <c r="J108" s="124"/>
    </row>
    <row r="109" spans="1:10" ht="15.2" customHeight="1">
      <c r="A109" s="127"/>
      <c r="B109" s="123" t="s">
        <v>104</v>
      </c>
      <c r="C109" s="127">
        <v>27445654</v>
      </c>
      <c r="D109" s="124"/>
      <c r="E109" s="124"/>
      <c r="F109" s="125"/>
      <c r="G109" s="123"/>
      <c r="H109" s="124"/>
      <c r="I109" s="124"/>
      <c r="J109" s="124"/>
    </row>
    <row r="110" spans="1:10" ht="15.2" customHeight="1">
      <c r="A110" s="127"/>
      <c r="B110" s="123" t="s">
        <v>103</v>
      </c>
      <c r="C110" s="127">
        <v>1022466400</v>
      </c>
      <c r="D110" s="124"/>
      <c r="E110" s="124"/>
      <c r="F110" s="125"/>
      <c r="G110" s="123"/>
      <c r="H110" s="124"/>
      <c r="I110" s="124"/>
      <c r="J110" s="124"/>
    </row>
    <row r="111" spans="1:10" ht="15.2" customHeight="1">
      <c r="A111" s="127"/>
      <c r="B111" s="123" t="s">
        <v>455</v>
      </c>
      <c r="C111" s="127">
        <v>350635354.77999997</v>
      </c>
      <c r="D111" s="124"/>
      <c r="E111" s="124"/>
      <c r="F111" s="125"/>
      <c r="G111" s="123"/>
      <c r="H111" s="124"/>
      <c r="I111" s="124"/>
      <c r="J111" s="124"/>
    </row>
    <row r="112" spans="1:10" ht="15.2" customHeight="1">
      <c r="A112" s="127"/>
      <c r="B112" s="123" t="s">
        <v>38</v>
      </c>
      <c r="C112" s="127">
        <v>17331455.68</v>
      </c>
      <c r="D112" s="124"/>
      <c r="E112" s="124"/>
      <c r="F112" s="125"/>
      <c r="G112" s="123"/>
      <c r="H112" s="124"/>
      <c r="I112" s="124"/>
      <c r="J112" s="124"/>
    </row>
    <row r="113" spans="1:10" ht="15.2" customHeight="1">
      <c r="A113" s="127"/>
      <c r="B113" s="123" t="s">
        <v>105</v>
      </c>
      <c r="C113" s="127">
        <v>688735</v>
      </c>
      <c r="D113" s="124"/>
      <c r="E113" s="124"/>
      <c r="F113" s="125"/>
      <c r="G113" s="123"/>
      <c r="H113" s="124"/>
      <c r="I113" s="124"/>
      <c r="J113" s="124"/>
    </row>
    <row r="114" spans="1:10" ht="15.2" customHeight="1">
      <c r="A114" s="127"/>
      <c r="B114" s="123" t="s">
        <v>106</v>
      </c>
      <c r="C114" s="127">
        <v>525250000</v>
      </c>
      <c r="D114" s="124"/>
      <c r="E114" s="124"/>
      <c r="F114" s="125"/>
      <c r="G114" s="123"/>
      <c r="H114" s="124"/>
      <c r="I114" s="124"/>
      <c r="J114" s="124"/>
    </row>
    <row r="115" spans="1:10" ht="15.2" customHeight="1">
      <c r="A115" s="127"/>
      <c r="B115" s="123" t="s">
        <v>456</v>
      </c>
      <c r="C115" s="127">
        <v>6900131</v>
      </c>
      <c r="D115" s="124"/>
      <c r="E115" s="124"/>
      <c r="F115" s="125"/>
      <c r="G115" s="123"/>
      <c r="H115" s="124"/>
      <c r="I115" s="124"/>
      <c r="J115" s="124"/>
    </row>
    <row r="116" spans="1:10" ht="15.2" customHeight="1">
      <c r="A116" s="127"/>
      <c r="B116" s="123" t="s">
        <v>525</v>
      </c>
      <c r="C116" s="127">
        <v>6002708.4100000001</v>
      </c>
      <c r="D116" s="124"/>
      <c r="E116" s="127">
        <f>SUM(C101:C116)</f>
        <v>2362776479.0599999</v>
      </c>
      <c r="F116" s="125"/>
      <c r="G116" s="123"/>
      <c r="H116" s="124"/>
      <c r="I116" s="124"/>
      <c r="J116" s="124"/>
    </row>
    <row r="117" spans="1:10" ht="13.35" customHeight="1">
      <c r="B117" s="123"/>
      <c r="C117" s="124"/>
      <c r="D117" s="124"/>
      <c r="E117" s="124"/>
      <c r="F117" s="125"/>
      <c r="G117" s="123"/>
      <c r="H117" s="124"/>
      <c r="I117" s="124"/>
      <c r="J117" s="124"/>
    </row>
    <row r="118" spans="1:10" ht="15.2" customHeight="1">
      <c r="B118" s="126" t="s">
        <v>327</v>
      </c>
      <c r="C118" s="124" t="s">
        <v>2</v>
      </c>
      <c r="D118" s="124"/>
      <c r="E118" s="124"/>
      <c r="F118" s="125"/>
      <c r="G118" s="123"/>
      <c r="H118" s="124"/>
      <c r="I118" s="124"/>
      <c r="J118" s="124"/>
    </row>
    <row r="119" spans="1:10" ht="15.2" customHeight="1">
      <c r="B119" s="123" t="s">
        <v>503</v>
      </c>
      <c r="C119" s="127">
        <v>342500000</v>
      </c>
      <c r="D119" s="124"/>
      <c r="E119" s="122">
        <f>+C119</f>
        <v>342500000</v>
      </c>
      <c r="F119" s="125"/>
      <c r="G119" s="123"/>
      <c r="H119" s="124"/>
      <c r="I119" s="124"/>
      <c r="J119" s="124"/>
    </row>
    <row r="120" spans="1:10" ht="13.35" customHeight="1">
      <c r="B120" s="128" t="s">
        <v>3</v>
      </c>
      <c r="C120" s="129"/>
      <c r="D120" s="129"/>
      <c r="E120" s="130">
        <f>+E119+E116+E98+E96+E94+E91+E77+E44+E17</f>
        <v>173183523189.35999</v>
      </c>
      <c r="F120" s="128"/>
      <c r="G120" s="128" t="s">
        <v>3</v>
      </c>
      <c r="H120" s="129"/>
      <c r="I120" s="129"/>
      <c r="J120" s="130">
        <f>+J106+J96+J90+J88+J86+J83+J32+J18+J16</f>
        <v>173183523190.22</v>
      </c>
    </row>
    <row r="122" spans="1:10">
      <c r="E122" s="114">
        <f>+E120-BS!D33</f>
        <v>-1.060028076171875</v>
      </c>
      <c r="G122" s="193">
        <f>+E120-J120</f>
        <v>-0.860015869140625</v>
      </c>
    </row>
  </sheetData>
  <mergeCells count="5">
    <mergeCell ref="B2:J2"/>
    <mergeCell ref="B3:J3"/>
    <mergeCell ref="B4:J4"/>
    <mergeCell ref="B5:J5"/>
    <mergeCell ref="B6:J6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73"/>
  <sheetViews>
    <sheetView showGridLines="0" view="pageBreakPreview" topLeftCell="A55" zoomScale="68" zoomScaleNormal="55" zoomScaleSheetLayoutView="68" workbookViewId="0">
      <selection activeCell="B1" sqref="B1:E6"/>
    </sheetView>
  </sheetViews>
  <sheetFormatPr defaultRowHeight="20.25"/>
  <cols>
    <col min="1" max="1" width="9" style="13"/>
    <col min="2" max="2" width="81" style="13" customWidth="1"/>
    <col min="3" max="3" width="12" style="13" customWidth="1"/>
    <col min="4" max="4" width="25.75" style="49" customWidth="1"/>
    <col min="5" max="5" width="29.375" style="49" customWidth="1"/>
    <col min="6" max="6" width="21.375" style="13" bestFit="1" customWidth="1"/>
    <col min="7" max="7" width="25.625" style="13" bestFit="1" customWidth="1"/>
    <col min="8" max="8" width="16.25" style="13" bestFit="1" customWidth="1"/>
    <col min="9" max="16384" width="9" style="13"/>
  </cols>
  <sheetData>
    <row r="1" spans="2:5">
      <c r="B1" s="229"/>
      <c r="C1" s="230"/>
      <c r="D1" s="231"/>
      <c r="E1" s="232"/>
    </row>
    <row r="2" spans="2:5">
      <c r="B2" s="294" t="s">
        <v>255</v>
      </c>
      <c r="C2" s="295"/>
      <c r="D2" s="295"/>
      <c r="E2" s="296"/>
    </row>
    <row r="3" spans="2:5">
      <c r="B3" s="224"/>
      <c r="C3" s="225"/>
      <c r="D3" s="233"/>
      <c r="E3" s="234"/>
    </row>
    <row r="4" spans="2:5">
      <c r="B4" s="307" t="s">
        <v>493</v>
      </c>
      <c r="C4" s="308"/>
      <c r="D4" s="308"/>
      <c r="E4" s="309"/>
    </row>
    <row r="5" spans="2:5">
      <c r="B5" s="78"/>
      <c r="C5" s="235"/>
      <c r="D5" s="236"/>
      <c r="E5" s="237" t="s">
        <v>529</v>
      </c>
    </row>
    <row r="6" spans="2:5" ht="45" customHeight="1">
      <c r="B6" s="16" t="s">
        <v>0</v>
      </c>
      <c r="C6" s="17" t="s">
        <v>1</v>
      </c>
      <c r="D6" s="18" t="s">
        <v>489</v>
      </c>
      <c r="E6" s="18" t="s">
        <v>488</v>
      </c>
    </row>
    <row r="7" spans="2:5">
      <c r="B7" s="19" t="s">
        <v>7</v>
      </c>
      <c r="C7" s="39"/>
      <c r="D7" s="179"/>
      <c r="E7" s="21"/>
    </row>
    <row r="8" spans="2:5">
      <c r="B8" s="22"/>
      <c r="C8" s="32"/>
      <c r="D8" s="109"/>
      <c r="E8" s="23"/>
    </row>
    <row r="9" spans="2:5">
      <c r="B9" s="22" t="s">
        <v>49</v>
      </c>
      <c r="C9" s="30">
        <f>BS!C29+1</f>
        <v>11</v>
      </c>
      <c r="D9" s="205">
        <f>+'Sch-PL'!D20</f>
        <v>11640016351.5</v>
      </c>
      <c r="E9" s="198">
        <v>10460246852.48</v>
      </c>
    </row>
    <row r="10" spans="2:5">
      <c r="B10" s="22" t="s">
        <v>26</v>
      </c>
      <c r="C10" s="30">
        <v>12</v>
      </c>
      <c r="D10" s="205">
        <f>+'Sch-PL'!D24</f>
        <v>18948510.620000001</v>
      </c>
      <c r="E10" s="199">
        <v>11899072.539999999</v>
      </c>
    </row>
    <row r="11" spans="2:5">
      <c r="B11" s="22" t="s">
        <v>271</v>
      </c>
      <c r="C11" s="30">
        <v>13</v>
      </c>
      <c r="D11" s="205">
        <f>+'Sch-PL'!D30</f>
        <v>100186145.83</v>
      </c>
      <c r="E11" s="199">
        <v>85750106.199999988</v>
      </c>
    </row>
    <row r="12" spans="2:5">
      <c r="B12" s="25"/>
      <c r="C12" s="142"/>
      <c r="D12" s="198"/>
      <c r="E12" s="26"/>
    </row>
    <row r="13" spans="2:5">
      <c r="B13" s="27" t="s">
        <v>8</v>
      </c>
      <c r="C13" s="28"/>
      <c r="D13" s="197">
        <f>+SUM(D9:D11)+1</f>
        <v>11759151008.950001</v>
      </c>
      <c r="E13" s="107">
        <f>+SUM(E9:E11)</f>
        <v>10557896031.220001</v>
      </c>
    </row>
    <row r="14" spans="2:5">
      <c r="B14" s="19" t="s">
        <v>9</v>
      </c>
      <c r="C14" s="29"/>
      <c r="D14" s="179"/>
      <c r="E14" s="23"/>
    </row>
    <row r="15" spans="2:5">
      <c r="B15" s="22"/>
      <c r="C15" s="30"/>
      <c r="D15" s="109"/>
      <c r="E15" s="23"/>
    </row>
    <row r="16" spans="2:5">
      <c r="B16" s="22" t="s">
        <v>27</v>
      </c>
      <c r="C16" s="30">
        <f>C11+1</f>
        <v>14</v>
      </c>
      <c r="D16" s="205">
        <f>+'Sch-PL'!D35</f>
        <v>9316809751.6800003</v>
      </c>
      <c r="E16" s="205">
        <v>8823434778.3999996</v>
      </c>
    </row>
    <row r="17" spans="2:5">
      <c r="B17" s="22" t="s">
        <v>28</v>
      </c>
      <c r="C17" s="30">
        <f>C16+1</f>
        <v>15</v>
      </c>
      <c r="D17" s="205">
        <f>+'Sch-PL'!D43</f>
        <v>431154237.55000001</v>
      </c>
      <c r="E17" s="205">
        <v>477016096.49000001</v>
      </c>
    </row>
    <row r="18" spans="2:5">
      <c r="B18" s="217" t="s">
        <v>530</v>
      </c>
      <c r="C18" s="30">
        <f>C17+1</f>
        <v>16</v>
      </c>
      <c r="D18" s="205">
        <f>+'Sch-PL'!D50</f>
        <v>21065102.920000002</v>
      </c>
      <c r="E18" s="206">
        <v>7473332</v>
      </c>
    </row>
    <row r="19" spans="2:5">
      <c r="B19" s="22" t="s">
        <v>29</v>
      </c>
      <c r="C19" s="30">
        <f>C18+1</f>
        <v>17</v>
      </c>
      <c r="D19" s="205">
        <f>+'Sch-PL'!D59</f>
        <v>68997428.120000005</v>
      </c>
      <c r="E19" s="205">
        <v>63184496</v>
      </c>
    </row>
    <row r="20" spans="2:5">
      <c r="B20" s="22" t="s">
        <v>30</v>
      </c>
      <c r="C20" s="30"/>
      <c r="D20" s="206">
        <f>+'Draft-P&amp;L'!E33</f>
        <v>429395</v>
      </c>
      <c r="E20" s="206">
        <v>374945</v>
      </c>
    </row>
    <row r="21" spans="2:5">
      <c r="B21" s="22" t="s">
        <v>31</v>
      </c>
      <c r="C21" s="30">
        <v>18</v>
      </c>
      <c r="D21" s="206">
        <f>+'Sch-PL'!D64</f>
        <v>4169685.4699999997</v>
      </c>
      <c r="E21" s="206">
        <v>4046207.73</v>
      </c>
    </row>
    <row r="22" spans="2:5">
      <c r="B22" s="22" t="s">
        <v>222</v>
      </c>
      <c r="C22" s="30">
        <f>C21+1</f>
        <v>19</v>
      </c>
      <c r="D22" s="206">
        <f>+'Sch-PL'!D69</f>
        <v>7506000</v>
      </c>
      <c r="E22" s="206">
        <v>1718875</v>
      </c>
    </row>
    <row r="23" spans="2:5">
      <c r="B23" s="22" t="s">
        <v>32</v>
      </c>
      <c r="C23" s="30">
        <f>C22+1</f>
        <v>20</v>
      </c>
      <c r="D23" s="206">
        <f>+'Sch-PL'!D74</f>
        <v>5298850.6899999995</v>
      </c>
      <c r="E23" s="206">
        <v>5514157</v>
      </c>
    </row>
    <row r="24" spans="2:5">
      <c r="B24" s="22" t="s">
        <v>33</v>
      </c>
      <c r="C24" s="30">
        <f>C23+1</f>
        <v>21</v>
      </c>
      <c r="D24" s="205">
        <f>+'Sch-PL'!D79</f>
        <v>102046614.09</v>
      </c>
      <c r="E24" s="205">
        <v>13160176.75</v>
      </c>
    </row>
    <row r="25" spans="2:5">
      <c r="B25" s="22" t="s">
        <v>34</v>
      </c>
      <c r="C25" s="30">
        <f>C24+1</f>
        <v>22</v>
      </c>
      <c r="D25" s="205">
        <f>+'Sch-PL'!D101</f>
        <v>282544465.64999998</v>
      </c>
      <c r="E25" s="205">
        <v>219536507.53000003</v>
      </c>
    </row>
    <row r="26" spans="2:5">
      <c r="B26" s="22" t="s">
        <v>35</v>
      </c>
      <c r="C26" s="30"/>
      <c r="D26" s="205">
        <f>+'Draft-P&amp;L'!E80</f>
        <v>34826660.170000002</v>
      </c>
      <c r="E26" s="205">
        <v>39063898.909999996</v>
      </c>
    </row>
    <row r="27" spans="2:5">
      <c r="B27" s="22"/>
      <c r="C27" s="30"/>
      <c r="D27" s="109"/>
      <c r="E27" s="23"/>
    </row>
    <row r="28" spans="2:5">
      <c r="B28" s="31" t="s">
        <v>36</v>
      </c>
      <c r="C28" s="30"/>
      <c r="D28" s="109"/>
      <c r="E28" s="23"/>
    </row>
    <row r="29" spans="2:5">
      <c r="B29" s="22" t="s">
        <v>40</v>
      </c>
      <c r="C29" s="30"/>
      <c r="D29" s="206">
        <f>+'Draft-P&amp;L'!D83</f>
        <v>5000000</v>
      </c>
      <c r="E29" s="206">
        <v>5000000</v>
      </c>
    </row>
    <row r="30" spans="2:5">
      <c r="B30" s="22" t="s">
        <v>41</v>
      </c>
      <c r="C30" s="32"/>
      <c r="D30" s="205">
        <f>+'Draft-P&amp;L'!D84</f>
        <v>20404842.609999999</v>
      </c>
      <c r="E30" s="206">
        <v>12475428.41</v>
      </c>
    </row>
    <row r="31" spans="2:5">
      <c r="B31" s="22" t="s">
        <v>490</v>
      </c>
      <c r="C31" s="32"/>
      <c r="D31" s="206">
        <f>+'Draft-P&amp;L'!D92</f>
        <v>5000000</v>
      </c>
      <c r="E31" s="207">
        <v>0</v>
      </c>
    </row>
    <row r="32" spans="2:5">
      <c r="B32" s="22" t="s">
        <v>42</v>
      </c>
      <c r="C32" s="33"/>
      <c r="D32" s="206">
        <f>+'Draft-P&amp;L'!D87</f>
        <v>1000000</v>
      </c>
      <c r="E32" s="206">
        <v>1000000</v>
      </c>
    </row>
    <row r="33" spans="2:7">
      <c r="B33" s="22" t="s">
        <v>43</v>
      </c>
      <c r="C33" s="34"/>
      <c r="D33" s="205">
        <f>+'Draft-P&amp;L'!D85</f>
        <v>150000000</v>
      </c>
      <c r="E33" s="205">
        <v>75000000</v>
      </c>
      <c r="F33" s="13">
        <f>+D33-E33</f>
        <v>75000000</v>
      </c>
    </row>
    <row r="34" spans="2:7">
      <c r="B34" s="22" t="s">
        <v>534</v>
      </c>
      <c r="C34" s="34"/>
      <c r="D34" s="205">
        <f>+'Draft-P&amp;L'!D90</f>
        <v>342100000</v>
      </c>
      <c r="E34" s="207">
        <v>0</v>
      </c>
    </row>
    <row r="35" spans="2:7">
      <c r="B35" s="22" t="s">
        <v>535</v>
      </c>
      <c r="C35" s="34"/>
      <c r="D35" s="205">
        <f>+'Draft-P&amp;L'!D86</f>
        <v>21550000</v>
      </c>
      <c r="E35" s="205">
        <v>70000000</v>
      </c>
    </row>
    <row r="36" spans="2:7">
      <c r="B36" s="22" t="s">
        <v>536</v>
      </c>
      <c r="C36" s="94"/>
      <c r="D36" s="205">
        <f>+'Draft-P&amp;L'!D89</f>
        <v>20000000</v>
      </c>
      <c r="E36" s="205">
        <v>50000000</v>
      </c>
    </row>
    <row r="37" spans="2:7">
      <c r="B37" s="22" t="s">
        <v>537</v>
      </c>
      <c r="C37" s="94"/>
      <c r="D37" s="205">
        <f>+'Draft-P&amp;L'!D91</f>
        <v>40000000</v>
      </c>
      <c r="E37" s="205">
        <v>10000000</v>
      </c>
    </row>
    <row r="38" spans="2:7">
      <c r="B38" s="35"/>
      <c r="C38" s="95"/>
      <c r="D38" s="105"/>
      <c r="E38" s="36"/>
    </row>
    <row r="39" spans="2:7">
      <c r="B39" s="37" t="s">
        <v>10</v>
      </c>
      <c r="C39" s="38"/>
      <c r="D39" s="197">
        <f>+SUM(D16:D37)+1</f>
        <v>10879903034.950001</v>
      </c>
      <c r="E39" s="200">
        <f>+SUM(E16:E37)</f>
        <v>9877998899.2199993</v>
      </c>
    </row>
    <row r="40" spans="2:7">
      <c r="B40" s="22"/>
      <c r="C40" s="39"/>
      <c r="D40" s="179"/>
      <c r="E40" s="23"/>
    </row>
    <row r="41" spans="2:7">
      <c r="B41" s="31" t="s">
        <v>11</v>
      </c>
      <c r="C41" s="40"/>
      <c r="D41" s="208">
        <f>+D13-D39</f>
        <v>879247974</v>
      </c>
      <c r="E41" s="208">
        <f>+E13-E39</f>
        <v>679897132.00000191</v>
      </c>
    </row>
    <row r="42" spans="2:7">
      <c r="B42" s="22"/>
      <c r="C42" s="32"/>
      <c r="D42" s="209"/>
      <c r="E42" s="210"/>
    </row>
    <row r="43" spans="2:7">
      <c r="B43" s="31" t="s">
        <v>44</v>
      </c>
      <c r="C43" s="32"/>
      <c r="D43" s="209"/>
      <c r="E43" s="210"/>
    </row>
    <row r="44" spans="2:7">
      <c r="B44" s="22" t="s">
        <v>45</v>
      </c>
      <c r="C44" s="32"/>
      <c r="D44" s="205">
        <f>+'Draft-P&amp;L'!D88</f>
        <v>525250000</v>
      </c>
      <c r="E44" s="205">
        <v>315000000</v>
      </c>
    </row>
    <row r="45" spans="2:7">
      <c r="B45" s="22" t="s">
        <v>46</v>
      </c>
      <c r="C45" s="32"/>
      <c r="D45" s="207">
        <v>0</v>
      </c>
      <c r="E45" s="207">
        <v>0</v>
      </c>
    </row>
    <row r="46" spans="2:7">
      <c r="B46" s="22" t="s">
        <v>47</v>
      </c>
      <c r="C46" s="32"/>
      <c r="D46" s="205">
        <f>+SUM('Draft-P&amp;L'!D74:D76)+'Draft-P&amp;L'!D77</f>
        <v>11497974</v>
      </c>
      <c r="E46" s="205">
        <v>34897132</v>
      </c>
    </row>
    <row r="47" spans="2:7">
      <c r="B47" s="22"/>
      <c r="C47" s="32"/>
      <c r="D47" s="211"/>
      <c r="E47" s="210"/>
    </row>
    <row r="48" spans="2:7">
      <c r="B48" s="42" t="s">
        <v>48</v>
      </c>
      <c r="C48" s="43"/>
      <c r="D48" s="201">
        <f>+D41-D44-D46</f>
        <v>342500000</v>
      </c>
      <c r="E48" s="200">
        <f>+E41-E44-E46</f>
        <v>330000000.00000191</v>
      </c>
      <c r="F48" s="13">
        <f>+D48-342500000</f>
        <v>0</v>
      </c>
      <c r="G48" s="44">
        <f>330000000-E48</f>
        <v>-1.9073486328125E-6</v>
      </c>
    </row>
    <row r="49" spans="2:5">
      <c r="B49" s="238"/>
      <c r="C49" s="45"/>
      <c r="D49" s="110"/>
      <c r="E49" s="239"/>
    </row>
    <row r="50" spans="2:5">
      <c r="B50" s="240" t="s">
        <v>251</v>
      </c>
      <c r="C50" s="1"/>
      <c r="D50" s="180"/>
      <c r="E50" s="241"/>
    </row>
    <row r="51" spans="2:5">
      <c r="B51" s="242" t="s">
        <v>5</v>
      </c>
      <c r="C51" s="2">
        <v>23</v>
      </c>
      <c r="D51" s="180"/>
      <c r="E51" s="241"/>
    </row>
    <row r="52" spans="2:5">
      <c r="B52" s="242" t="s">
        <v>4</v>
      </c>
      <c r="C52" s="2">
        <v>24</v>
      </c>
      <c r="D52" s="180"/>
      <c r="E52" s="241"/>
    </row>
    <row r="53" spans="2:5">
      <c r="B53" s="242"/>
      <c r="C53" s="2"/>
      <c r="D53" s="180"/>
      <c r="E53" s="241"/>
    </row>
    <row r="54" spans="2:5">
      <c r="B54" s="243" t="s">
        <v>494</v>
      </c>
      <c r="C54" s="1"/>
      <c r="D54" s="180"/>
      <c r="E54" s="241"/>
    </row>
    <row r="55" spans="2:5">
      <c r="B55" s="244" t="s">
        <v>491</v>
      </c>
      <c r="C55" s="1"/>
      <c r="D55" s="180"/>
      <c r="E55" s="241"/>
    </row>
    <row r="56" spans="2:5">
      <c r="B56" s="245" t="s">
        <v>6</v>
      </c>
      <c r="C56" s="1"/>
      <c r="D56" s="180"/>
      <c r="E56" s="241"/>
    </row>
    <row r="57" spans="2:5">
      <c r="B57" s="243" t="s">
        <v>492</v>
      </c>
      <c r="C57" s="9"/>
      <c r="D57" s="9"/>
      <c r="E57" s="246"/>
    </row>
    <row r="58" spans="2:5">
      <c r="B58" s="243"/>
      <c r="C58" s="9"/>
      <c r="D58" s="9"/>
      <c r="E58" s="246"/>
    </row>
    <row r="59" spans="2:5">
      <c r="B59" s="247"/>
      <c r="C59" s="4"/>
      <c r="D59" s="10" t="s">
        <v>259</v>
      </c>
      <c r="E59" s="248"/>
    </row>
    <row r="60" spans="2:5">
      <c r="B60" s="249" t="s">
        <v>519</v>
      </c>
      <c r="C60" s="3"/>
      <c r="D60" s="11"/>
      <c r="E60" s="250"/>
    </row>
    <row r="61" spans="2:5">
      <c r="B61" s="243" t="s">
        <v>254</v>
      </c>
      <c r="C61" s="5"/>
      <c r="D61" s="181"/>
      <c r="E61" s="251"/>
    </row>
    <row r="62" spans="2:5">
      <c r="B62" s="243" t="s">
        <v>520</v>
      </c>
      <c r="C62" s="11"/>
      <c r="D62" s="11"/>
      <c r="E62" s="252"/>
    </row>
    <row r="63" spans="2:5">
      <c r="B63" s="243"/>
      <c r="C63" s="11"/>
      <c r="D63" s="11"/>
      <c r="E63" s="252"/>
    </row>
    <row r="64" spans="2:5">
      <c r="B64" s="243"/>
      <c r="C64" s="11"/>
      <c r="D64" s="11"/>
      <c r="E64" s="252"/>
    </row>
    <row r="65" spans="2:5">
      <c r="B65" s="243"/>
      <c r="C65" s="11"/>
      <c r="D65" s="11"/>
      <c r="E65" s="252"/>
    </row>
    <row r="66" spans="2:5">
      <c r="B66" s="243"/>
      <c r="C66" s="6"/>
      <c r="D66" s="182"/>
      <c r="E66" s="251"/>
    </row>
    <row r="67" spans="2:5">
      <c r="B67" s="244"/>
      <c r="C67" s="7"/>
      <c r="D67" s="183"/>
      <c r="E67" s="253"/>
    </row>
    <row r="68" spans="2:5">
      <c r="B68" s="247"/>
      <c r="C68" s="254"/>
      <c r="D68" s="8"/>
      <c r="E68" s="241"/>
    </row>
    <row r="69" spans="2:5">
      <c r="B69" s="300" t="s">
        <v>260</v>
      </c>
      <c r="C69" s="301"/>
      <c r="D69" s="301"/>
      <c r="E69" s="302"/>
    </row>
    <row r="70" spans="2:5">
      <c r="B70" s="255"/>
      <c r="C70" s="6"/>
      <c r="D70" s="182"/>
      <c r="E70" s="251"/>
    </row>
    <row r="71" spans="2:5">
      <c r="B71" s="243" t="s">
        <v>511</v>
      </c>
      <c r="C71" s="6"/>
      <c r="D71" s="182"/>
      <c r="E71" s="251"/>
    </row>
    <row r="72" spans="2:5">
      <c r="B72" s="243" t="s">
        <v>538</v>
      </c>
      <c r="C72" s="6"/>
      <c r="D72" s="182"/>
      <c r="E72" s="251"/>
    </row>
    <row r="73" spans="2:5">
      <c r="B73" s="256"/>
      <c r="C73" s="257"/>
      <c r="D73" s="258"/>
      <c r="E73" s="259"/>
    </row>
  </sheetData>
  <mergeCells count="3">
    <mergeCell ref="B4:E4"/>
    <mergeCell ref="B2:E2"/>
    <mergeCell ref="B69:E69"/>
  </mergeCells>
  <printOptions horizontalCentered="1"/>
  <pageMargins left="0.70866141732283472" right="0.70866141732283472" top="0.35433070866141736" bottom="0.35433070866141736" header="0" footer="0"/>
  <pageSetup paperSize="9" scale="5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O113"/>
  <sheetViews>
    <sheetView showGridLines="0" tabSelected="1" view="pageBreakPreview" topLeftCell="A73" zoomScale="25" zoomScaleSheetLayoutView="25" workbookViewId="0">
      <selection activeCell="F107" sqref="F107"/>
    </sheetView>
  </sheetViews>
  <sheetFormatPr defaultRowHeight="33"/>
  <cols>
    <col min="1" max="1" width="9" style="50"/>
    <col min="2" max="2" width="121.625" style="50" customWidth="1"/>
    <col min="3" max="4" width="47.75" style="59" customWidth="1"/>
    <col min="5" max="5" width="40.875" style="59" customWidth="1"/>
    <col min="6" max="6" width="45.875" style="59" customWidth="1"/>
    <col min="7" max="7" width="41.75" style="50" bestFit="1" customWidth="1"/>
    <col min="8" max="14" width="9" style="50"/>
    <col min="15" max="15" width="29.25" style="50" bestFit="1" customWidth="1"/>
    <col min="16" max="16384" width="9" style="50"/>
  </cols>
  <sheetData>
    <row r="1" spans="2:6" ht="33.75">
      <c r="B1" s="303" t="s">
        <v>255</v>
      </c>
      <c r="C1" s="303"/>
      <c r="D1" s="303"/>
      <c r="E1" s="303"/>
      <c r="F1" s="303"/>
    </row>
    <row r="3" spans="2:6" ht="33.75">
      <c r="B3" s="304" t="s">
        <v>480</v>
      </c>
      <c r="C3" s="304"/>
      <c r="D3" s="304"/>
      <c r="E3" s="304"/>
      <c r="F3" s="304"/>
    </row>
    <row r="5" spans="2:6" ht="85.5" customHeight="1">
      <c r="B5" s="72" t="s">
        <v>0</v>
      </c>
      <c r="C5" s="184"/>
      <c r="D5" s="87" t="s">
        <v>483</v>
      </c>
      <c r="E5" s="184"/>
      <c r="F5" s="87" t="s">
        <v>261</v>
      </c>
    </row>
    <row r="6" spans="2:6">
      <c r="B6" s="214"/>
      <c r="C6" s="176"/>
      <c r="D6" s="56"/>
      <c r="E6" s="56"/>
      <c r="F6" s="56"/>
    </row>
    <row r="7" spans="2:6" ht="33.75">
      <c r="B7" s="284" t="s">
        <v>188</v>
      </c>
      <c r="C7" s="168"/>
      <c r="D7" s="169"/>
      <c r="E7" s="54"/>
      <c r="F7" s="54"/>
    </row>
    <row r="8" spans="2:6">
      <c r="B8" s="214" t="s">
        <v>189</v>
      </c>
      <c r="C8" s="167"/>
      <c r="D8" s="279">
        <f>+'Draft-P&amp;L'!H11+1</f>
        <v>8396453814.4200001</v>
      </c>
      <c r="E8" s="54"/>
      <c r="F8" s="279">
        <v>7289488550.1599998</v>
      </c>
    </row>
    <row r="9" spans="2:6">
      <c r="B9" s="214"/>
      <c r="C9" s="167"/>
      <c r="D9" s="54"/>
      <c r="E9" s="54"/>
      <c r="F9" s="279"/>
    </row>
    <row r="10" spans="2:6">
      <c r="B10" s="214" t="s">
        <v>190</v>
      </c>
      <c r="C10" s="282">
        <f>+'Draft-P&amp;L'!H9</f>
        <v>2019647612.6800001</v>
      </c>
      <c r="D10" s="54"/>
      <c r="E10" s="282">
        <v>1695419192.04</v>
      </c>
      <c r="F10" s="279"/>
    </row>
    <row r="11" spans="2:6">
      <c r="B11" s="214" t="s">
        <v>191</v>
      </c>
      <c r="C11" s="280">
        <f>+'Draft-P&amp;L'!H10</f>
        <v>1084712937</v>
      </c>
      <c r="D11" s="279">
        <f>+SUM(C10:C11)</f>
        <v>3104360549.6800003</v>
      </c>
      <c r="E11" s="280">
        <v>1283599867.8800001</v>
      </c>
      <c r="F11" s="279">
        <f>+SUM(E10:E11)</f>
        <v>2979019059.9200001</v>
      </c>
    </row>
    <row r="12" spans="2:6">
      <c r="B12" s="64"/>
      <c r="C12" s="167"/>
      <c r="D12" s="54"/>
      <c r="E12" s="54"/>
      <c r="F12" s="54"/>
    </row>
    <row r="13" spans="2:6">
      <c r="B13" s="64" t="s">
        <v>192</v>
      </c>
      <c r="C13" s="281">
        <f>+'Draft-P&amp;L'!H12</f>
        <v>801988.4</v>
      </c>
      <c r="D13" s="54"/>
      <c r="E13" s="281">
        <v>950911.4</v>
      </c>
      <c r="F13" s="54"/>
    </row>
    <row r="14" spans="2:6">
      <c r="B14" s="64" t="s">
        <v>194</v>
      </c>
      <c r="C14" s="167">
        <f>+'Draft-P&amp;L'!H14</f>
        <v>0</v>
      </c>
      <c r="D14" s="54"/>
      <c r="E14" s="281">
        <v>788331</v>
      </c>
      <c r="F14" s="54"/>
    </row>
    <row r="15" spans="2:6">
      <c r="B15" s="64" t="s">
        <v>193</v>
      </c>
      <c r="C15" s="279">
        <f>+'Draft-P&amp;L'!H15</f>
        <v>20000000</v>
      </c>
      <c r="D15" s="54"/>
      <c r="E15" s="279">
        <v>50000000</v>
      </c>
      <c r="F15" s="54"/>
    </row>
    <row r="16" spans="2:6">
      <c r="B16" s="64" t="s">
        <v>521</v>
      </c>
      <c r="C16" s="279">
        <v>30000000</v>
      </c>
      <c r="D16" s="54"/>
      <c r="E16" s="279"/>
      <c r="F16" s="54"/>
    </row>
    <row r="17" spans="2:6">
      <c r="B17" s="64" t="s">
        <v>522</v>
      </c>
      <c r="C17" s="279">
        <v>88400000</v>
      </c>
      <c r="D17" s="54"/>
      <c r="E17" s="279"/>
      <c r="F17" s="54"/>
    </row>
    <row r="18" spans="2:6">
      <c r="B18" s="64" t="s">
        <v>195</v>
      </c>
      <c r="C18" s="170">
        <v>0</v>
      </c>
      <c r="D18" s="279">
        <f>+SUM(C13:C18)</f>
        <v>139201988.40000001</v>
      </c>
      <c r="E18" s="170">
        <v>140000000</v>
      </c>
      <c r="F18" s="279">
        <f>+SUM(E13:E18)</f>
        <v>191739242.40000001</v>
      </c>
    </row>
    <row r="19" spans="2:6">
      <c r="B19" s="64"/>
      <c r="C19" s="167"/>
      <c r="D19" s="54"/>
      <c r="E19" s="54"/>
      <c r="F19" s="54"/>
    </row>
    <row r="20" spans="2:6" ht="34.5" thickBot="1">
      <c r="B20" s="64"/>
      <c r="C20" s="167"/>
      <c r="D20" s="285">
        <f>+SUM(D8:D18)-1</f>
        <v>11640016351.5</v>
      </c>
      <c r="E20" s="279"/>
      <c r="F20" s="285">
        <f>+SUM(F8:F18)</f>
        <v>10460246852.48</v>
      </c>
    </row>
    <row r="21" spans="2:6" ht="33.75" thickTop="1">
      <c r="B21" s="64"/>
      <c r="C21" s="167"/>
      <c r="D21" s="54"/>
      <c r="E21" s="54"/>
      <c r="F21" s="54"/>
    </row>
    <row r="22" spans="2:6" ht="33.75">
      <c r="B22" s="65" t="s">
        <v>196</v>
      </c>
      <c r="C22" s="168"/>
      <c r="D22" s="169"/>
      <c r="E22" s="54"/>
      <c r="F22" s="54"/>
    </row>
    <row r="23" spans="2:6">
      <c r="B23" s="64" t="s">
        <v>13</v>
      </c>
      <c r="C23" s="167"/>
      <c r="D23" s="280">
        <f>+'Draft-P&amp;L'!H19</f>
        <v>18948510.620000001</v>
      </c>
      <c r="E23" s="54"/>
      <c r="F23" s="280">
        <v>11899072.539999999</v>
      </c>
    </row>
    <row r="24" spans="2:6" ht="34.5" thickBot="1">
      <c r="B24" s="64"/>
      <c r="C24" s="167"/>
      <c r="D24" s="285">
        <f>+D23</f>
        <v>18948510.620000001</v>
      </c>
      <c r="E24" s="54"/>
      <c r="F24" s="285">
        <f>+F23</f>
        <v>11899072.539999999</v>
      </c>
    </row>
    <row r="25" spans="2:6" ht="33.75" thickTop="1">
      <c r="B25" s="64"/>
      <c r="C25" s="167"/>
      <c r="D25" s="54"/>
      <c r="E25" s="54"/>
      <c r="F25" s="54"/>
    </row>
    <row r="26" spans="2:6" ht="33.75">
      <c r="B26" s="65" t="s">
        <v>197</v>
      </c>
      <c r="C26" s="168"/>
      <c r="D26" s="169"/>
      <c r="E26" s="54"/>
      <c r="F26" s="54"/>
    </row>
    <row r="27" spans="2:6">
      <c r="B27" s="64" t="s">
        <v>198</v>
      </c>
      <c r="C27" s="167"/>
      <c r="D27" s="279">
        <f>+'Draft-P&amp;L'!H22</f>
        <v>30090000</v>
      </c>
      <c r="E27" s="54"/>
      <c r="F27" s="279">
        <v>30130000</v>
      </c>
    </row>
    <row r="28" spans="2:6">
      <c r="B28" s="64" t="s">
        <v>199</v>
      </c>
      <c r="C28" s="167"/>
      <c r="D28" s="279">
        <f>+'Draft-P&amp;L'!I29</f>
        <v>70096145.829999998</v>
      </c>
      <c r="E28" s="54"/>
      <c r="F28" s="279">
        <v>47782029.630000003</v>
      </c>
    </row>
    <row r="29" spans="2:6">
      <c r="B29" s="64" t="s">
        <v>272</v>
      </c>
      <c r="C29" s="167"/>
      <c r="D29" s="286">
        <f>+'Draft-P&amp;L'!H13</f>
        <v>0</v>
      </c>
      <c r="E29" s="54"/>
      <c r="F29" s="281">
        <f>7838076.57-1</f>
        <v>7838075.5700000003</v>
      </c>
    </row>
    <row r="30" spans="2:6" ht="34.5" thickBot="1">
      <c r="B30" s="64"/>
      <c r="C30" s="167"/>
      <c r="D30" s="285">
        <f>SUM(D27:D29)</f>
        <v>100186145.83</v>
      </c>
      <c r="E30" s="54"/>
      <c r="F30" s="285">
        <f>SUM(F27:F29)+1</f>
        <v>85750106.199999988</v>
      </c>
    </row>
    <row r="31" spans="2:6" ht="33.75" thickTop="1">
      <c r="B31" s="64"/>
      <c r="C31" s="167"/>
      <c r="D31" s="54"/>
      <c r="E31" s="54"/>
      <c r="F31" s="54"/>
    </row>
    <row r="32" spans="2:6" ht="33.75">
      <c r="B32" s="61" t="s">
        <v>200</v>
      </c>
      <c r="C32" s="159"/>
      <c r="D32" s="160"/>
      <c r="E32" s="54"/>
      <c r="F32" s="54"/>
    </row>
    <row r="33" spans="2:15">
      <c r="B33" s="64" t="s">
        <v>201</v>
      </c>
      <c r="C33" s="167"/>
      <c r="D33" s="279">
        <f>+'Draft-P&amp;L'!D9</f>
        <v>5189500472.6800003</v>
      </c>
      <c r="E33" s="54"/>
      <c r="F33" s="279">
        <v>5111049894.3999996</v>
      </c>
    </row>
    <row r="34" spans="2:15">
      <c r="B34" s="64" t="s">
        <v>202</v>
      </c>
      <c r="C34" s="167"/>
      <c r="D34" s="279">
        <f>+'Draft-P&amp;L'!D10</f>
        <v>4127309279</v>
      </c>
      <c r="E34" s="54"/>
      <c r="F34" s="279">
        <v>3712384884</v>
      </c>
    </row>
    <row r="35" spans="2:15" ht="34.5" thickBot="1">
      <c r="B35" s="64"/>
      <c r="C35" s="167"/>
      <c r="D35" s="285">
        <f>SUM(D33:D34)</f>
        <v>9316809751.6800003</v>
      </c>
      <c r="E35" s="54"/>
      <c r="F35" s="285">
        <f>SUM(F33:F34)</f>
        <v>8823434778.3999996</v>
      </c>
    </row>
    <row r="36" spans="2:15" ht="33.75" thickTop="1">
      <c r="B36" s="64"/>
      <c r="C36" s="167"/>
      <c r="D36" s="186"/>
      <c r="E36" s="54"/>
      <c r="F36" s="54"/>
    </row>
    <row r="37" spans="2:15" ht="33.75">
      <c r="B37" s="61" t="s">
        <v>203</v>
      </c>
      <c r="C37" s="159"/>
      <c r="D37" s="187"/>
      <c r="E37" s="54"/>
      <c r="F37" s="54"/>
    </row>
    <row r="38" spans="2:15">
      <c r="B38" s="64" t="s">
        <v>204</v>
      </c>
      <c r="C38" s="167"/>
      <c r="D38" s="279">
        <f>+'Draft-P&amp;L'!D13</f>
        <v>363027118.55000001</v>
      </c>
      <c r="E38" s="54"/>
      <c r="F38" s="279">
        <v>399991099.49000001</v>
      </c>
    </row>
    <row r="39" spans="2:15">
      <c r="B39" s="64" t="s">
        <v>205</v>
      </c>
      <c r="C39" s="167"/>
      <c r="D39" s="287">
        <f>+'Draft-P&amp;L'!D14</f>
        <v>3902612</v>
      </c>
      <c r="E39" s="54"/>
      <c r="F39" s="287">
        <v>4501829</v>
      </c>
    </row>
    <row r="40" spans="2:15">
      <c r="B40" s="64" t="s">
        <v>206</v>
      </c>
      <c r="C40" s="167"/>
      <c r="D40" s="279">
        <f>+'Draft-P&amp;L'!D15</f>
        <v>38727087</v>
      </c>
      <c r="E40" s="54"/>
      <c r="F40" s="279">
        <v>44630422</v>
      </c>
    </row>
    <row r="41" spans="2:15">
      <c r="B41" s="64" t="s">
        <v>246</v>
      </c>
      <c r="C41" s="167"/>
      <c r="D41" s="279">
        <f>+'Draft-P&amp;L'!D70</f>
        <v>16044101</v>
      </c>
      <c r="E41" s="54"/>
      <c r="F41" s="279">
        <v>19844639</v>
      </c>
      <c r="H41" s="50" t="s">
        <v>257</v>
      </c>
      <c r="O41" s="59">
        <v>106177</v>
      </c>
    </row>
    <row r="42" spans="2:15">
      <c r="B42" s="64" t="s">
        <v>247</v>
      </c>
      <c r="C42" s="167"/>
      <c r="D42" s="287">
        <f>+'Draft-P&amp;L'!D71</f>
        <v>9453319</v>
      </c>
      <c r="E42" s="54"/>
      <c r="F42" s="287">
        <v>8048107</v>
      </c>
      <c r="H42" s="50" t="s">
        <v>248</v>
      </c>
      <c r="O42" s="59"/>
    </row>
    <row r="43" spans="2:15" ht="34.5" thickBot="1">
      <c r="B43" s="64"/>
      <c r="C43" s="167"/>
      <c r="D43" s="289">
        <f>SUM(D38:D42)</f>
        <v>431154237.55000001</v>
      </c>
      <c r="E43" s="285"/>
      <c r="F43" s="289">
        <f>SUM(F38:F42)</f>
        <v>477016096.49000001</v>
      </c>
    </row>
    <row r="44" spans="2:15" ht="33.75" thickTop="1">
      <c r="B44" s="64"/>
      <c r="C44" s="167"/>
      <c r="D44" s="176"/>
      <c r="E44" s="283"/>
      <c r="F44" s="176"/>
    </row>
    <row r="45" spans="2:15" ht="67.5">
      <c r="B45" s="73" t="s">
        <v>207</v>
      </c>
      <c r="C45" s="185"/>
      <c r="D45" s="185"/>
      <c r="E45" s="283"/>
      <c r="F45" s="167"/>
    </row>
    <row r="46" spans="2:15">
      <c r="B46" s="64" t="s">
        <v>208</v>
      </c>
      <c r="C46" s="167"/>
      <c r="D46" s="167">
        <f>+'Draft-P&amp;L'!D19</f>
        <v>300000</v>
      </c>
      <c r="E46" s="283"/>
      <c r="F46" s="167">
        <v>325000</v>
      </c>
    </row>
    <row r="47" spans="2:15">
      <c r="B47" s="64" t="s">
        <v>209</v>
      </c>
      <c r="C47" s="167"/>
      <c r="D47" s="167">
        <f>+'Draft-P&amp;L'!D20</f>
        <v>180000</v>
      </c>
      <c r="E47" s="283"/>
      <c r="F47" s="167">
        <v>195000</v>
      </c>
    </row>
    <row r="48" spans="2:15">
      <c r="B48" s="64" t="s">
        <v>210</v>
      </c>
      <c r="C48" s="167"/>
      <c r="D48" s="167">
        <f>+'Draft-P&amp;L'!D21</f>
        <v>6506565</v>
      </c>
      <c r="E48" s="283"/>
      <c r="F48" s="167">
        <v>6921432</v>
      </c>
    </row>
    <row r="49" spans="2:6">
      <c r="B49" s="64" t="s">
        <v>211</v>
      </c>
      <c r="C49" s="167"/>
      <c r="D49" s="167">
        <f>+'Draft-P&amp;L'!D22</f>
        <v>14078537.92</v>
      </c>
      <c r="E49" s="283"/>
      <c r="F49" s="167">
        <v>31900</v>
      </c>
    </row>
    <row r="50" spans="2:6" ht="33.75">
      <c r="B50" s="64"/>
      <c r="C50" s="167"/>
      <c r="D50" s="290">
        <f>SUM(D46:D49)</f>
        <v>21065102.920000002</v>
      </c>
      <c r="E50" s="288"/>
      <c r="F50" s="290">
        <f>SUM(F46:F49)</f>
        <v>7473332</v>
      </c>
    </row>
    <row r="51" spans="2:6">
      <c r="B51" s="64"/>
      <c r="C51" s="167"/>
      <c r="D51" s="54"/>
      <c r="E51" s="54"/>
      <c r="F51" s="54"/>
    </row>
    <row r="52" spans="2:6" ht="33.75">
      <c r="B52" s="61" t="s">
        <v>212</v>
      </c>
      <c r="C52" s="159"/>
      <c r="D52" s="160"/>
      <c r="E52" s="54"/>
      <c r="F52" s="54"/>
    </row>
    <row r="53" spans="2:6">
      <c r="B53" s="64" t="s">
        <v>213</v>
      </c>
      <c r="C53" s="167"/>
      <c r="D53" s="279">
        <f>+'Draft-P&amp;L'!D25-1</f>
        <v>20636699.5</v>
      </c>
      <c r="E53" s="54"/>
      <c r="F53" s="279">
        <v>18598810</v>
      </c>
    </row>
    <row r="54" spans="2:6">
      <c r="B54" s="64" t="s">
        <v>214</v>
      </c>
      <c r="C54" s="167"/>
      <c r="D54" s="287">
        <f>+'Draft-P&amp;L'!D26</f>
        <v>1185390</v>
      </c>
      <c r="E54" s="54"/>
      <c r="F54" s="287">
        <v>2751166</v>
      </c>
    </row>
    <row r="55" spans="2:6">
      <c r="B55" s="64" t="s">
        <v>215</v>
      </c>
      <c r="C55" s="167"/>
      <c r="D55" s="287">
        <f>+'Draft-P&amp;L'!D27</f>
        <v>107500</v>
      </c>
      <c r="E55" s="54"/>
      <c r="F55" s="287">
        <v>113163</v>
      </c>
    </row>
    <row r="56" spans="2:6">
      <c r="B56" s="64" t="s">
        <v>216</v>
      </c>
      <c r="C56" s="167"/>
      <c r="D56" s="279">
        <f>+'Draft-P&amp;L'!D28</f>
        <v>39293623.5</v>
      </c>
      <c r="E56" s="54"/>
      <c r="F56" s="279">
        <v>34123376</v>
      </c>
    </row>
    <row r="57" spans="2:6">
      <c r="B57" s="64" t="s">
        <v>217</v>
      </c>
      <c r="C57" s="167"/>
      <c r="D57" s="287">
        <f>+'Draft-P&amp;L'!D29</f>
        <v>7071405.1200000001</v>
      </c>
      <c r="E57" s="54"/>
      <c r="F57" s="287">
        <v>7126892</v>
      </c>
    </row>
    <row r="58" spans="2:6">
      <c r="B58" s="64" t="s">
        <v>218</v>
      </c>
      <c r="C58" s="167"/>
      <c r="D58" s="287">
        <f>+'Draft-P&amp;L'!D30</f>
        <v>702809</v>
      </c>
      <c r="E58" s="54"/>
      <c r="F58" s="287">
        <v>471089</v>
      </c>
    </row>
    <row r="59" spans="2:6" ht="33.75">
      <c r="B59" s="64"/>
      <c r="C59" s="167"/>
      <c r="D59" s="290">
        <f>SUM(D53:D58)+1</f>
        <v>68997428.120000005</v>
      </c>
      <c r="E59" s="54"/>
      <c r="F59" s="290">
        <f>SUM(F53:F58)</f>
        <v>63184496</v>
      </c>
    </row>
    <row r="60" spans="2:6">
      <c r="B60" s="64"/>
      <c r="C60" s="167"/>
      <c r="D60" s="54"/>
      <c r="E60" s="54"/>
      <c r="F60" s="54"/>
    </row>
    <row r="61" spans="2:6" ht="33.75">
      <c r="B61" s="61" t="s">
        <v>219</v>
      </c>
      <c r="C61" s="159"/>
      <c r="D61" s="160"/>
      <c r="E61" s="54"/>
      <c r="F61" s="54"/>
    </row>
    <row r="62" spans="2:6">
      <c r="B62" s="64" t="s">
        <v>220</v>
      </c>
      <c r="C62" s="167"/>
      <c r="D62" s="287">
        <f>+'Draft-P&amp;L'!D36</f>
        <v>590820.9</v>
      </c>
      <c r="E62" s="54"/>
      <c r="F62" s="54">
        <v>428482</v>
      </c>
    </row>
    <row r="63" spans="2:6">
      <c r="B63" s="64" t="s">
        <v>221</v>
      </c>
      <c r="C63" s="167"/>
      <c r="D63" s="287">
        <f>+'Draft-P&amp;L'!D37-1</f>
        <v>3578863.57</v>
      </c>
      <c r="E63" s="54"/>
      <c r="F63" s="54">
        <v>3617725.73</v>
      </c>
    </row>
    <row r="64" spans="2:6" ht="34.5" thickBot="1">
      <c r="B64" s="64"/>
      <c r="C64" s="167"/>
      <c r="D64" s="292">
        <f>SUM(D62:D63)+1</f>
        <v>4169685.4699999997</v>
      </c>
      <c r="E64" s="54"/>
      <c r="F64" s="292">
        <f>SUM(F62:F63)</f>
        <v>4046207.73</v>
      </c>
    </row>
    <row r="65" spans="2:6" ht="33.75" thickTop="1">
      <c r="B65" s="64"/>
      <c r="C65" s="167"/>
      <c r="D65" s="54"/>
      <c r="E65" s="54"/>
      <c r="F65" s="54"/>
    </row>
    <row r="66" spans="2:6" ht="33.75">
      <c r="B66" s="61" t="s">
        <v>223</v>
      </c>
      <c r="C66" s="159"/>
      <c r="D66" s="160"/>
      <c r="E66" s="54"/>
      <c r="F66" s="54"/>
    </row>
    <row r="67" spans="2:6">
      <c r="B67" s="64" t="s">
        <v>224</v>
      </c>
      <c r="C67" s="167"/>
      <c r="D67" s="287">
        <v>1000000</v>
      </c>
      <c r="E67" s="54"/>
      <c r="F67" s="287">
        <v>1000000</v>
      </c>
    </row>
    <row r="68" spans="2:6">
      <c r="B68" s="64" t="s">
        <v>225</v>
      </c>
      <c r="C68" s="167"/>
      <c r="D68" s="287">
        <f>+'Draft-P&amp;L'!D45-D67</f>
        <v>6506000</v>
      </c>
      <c r="E68" s="54"/>
      <c r="F68" s="287">
        <v>718875</v>
      </c>
    </row>
    <row r="69" spans="2:6" ht="33.75">
      <c r="B69" s="64"/>
      <c r="C69" s="167"/>
      <c r="D69" s="291">
        <f>SUM(D67:D68)</f>
        <v>7506000</v>
      </c>
      <c r="E69" s="54"/>
      <c r="F69" s="291">
        <f>SUM(F67:F68)</f>
        <v>1718875</v>
      </c>
    </row>
    <row r="70" spans="2:6" ht="33.75">
      <c r="B70" s="61" t="s">
        <v>226</v>
      </c>
      <c r="C70" s="159"/>
      <c r="D70" s="160"/>
      <c r="E70" s="54"/>
      <c r="F70" s="54"/>
    </row>
    <row r="71" spans="2:6">
      <c r="B71" s="64" t="s">
        <v>227</v>
      </c>
      <c r="C71" s="167"/>
      <c r="D71" s="287">
        <f>+'Draft-P&amp;L'!D40</f>
        <v>901541.24</v>
      </c>
      <c r="E71" s="54"/>
      <c r="F71" s="287">
        <v>813148</v>
      </c>
    </row>
    <row r="72" spans="2:6">
      <c r="B72" s="64" t="s">
        <v>228</v>
      </c>
      <c r="C72" s="167"/>
      <c r="D72" s="287">
        <f>+'Draft-P&amp;L'!D41</f>
        <v>1348749.6300000001</v>
      </c>
      <c r="E72" s="54"/>
      <c r="F72" s="287">
        <v>238304</v>
      </c>
    </row>
    <row r="73" spans="2:6">
      <c r="B73" s="64" t="s">
        <v>229</v>
      </c>
      <c r="C73" s="167"/>
      <c r="D73" s="287">
        <f>+'Draft-P&amp;L'!D42</f>
        <v>3048559.82</v>
      </c>
      <c r="E73" s="54"/>
      <c r="F73" s="287">
        <v>4462705</v>
      </c>
    </row>
    <row r="74" spans="2:6" ht="34.5" thickBot="1">
      <c r="B74" s="64"/>
      <c r="C74" s="167"/>
      <c r="D74" s="292">
        <f>SUM(D71:D73)</f>
        <v>5298850.6899999995</v>
      </c>
      <c r="E74" s="54"/>
      <c r="F74" s="292">
        <f>SUM(F71:F73)</f>
        <v>5514157</v>
      </c>
    </row>
    <row r="75" spans="2:6" ht="33.75" thickTop="1">
      <c r="B75" s="64"/>
      <c r="C75" s="167"/>
      <c r="D75" s="54"/>
      <c r="E75" s="54"/>
      <c r="F75" s="54"/>
    </row>
    <row r="76" spans="2:6" ht="33.75">
      <c r="B76" s="61" t="s">
        <v>230</v>
      </c>
      <c r="C76" s="159"/>
      <c r="D76" s="160"/>
      <c r="E76" s="54"/>
      <c r="F76" s="54"/>
    </row>
    <row r="77" spans="2:6">
      <c r="B77" s="64" t="s">
        <v>231</v>
      </c>
      <c r="C77" s="167"/>
      <c r="D77" s="279">
        <f>+'Draft-P&amp;L'!D48</f>
        <v>92625866.180000007</v>
      </c>
      <c r="E77" s="54"/>
      <c r="F77" s="287">
        <v>3401679.75</v>
      </c>
    </row>
    <row r="78" spans="2:6">
      <c r="B78" s="64" t="s">
        <v>232</v>
      </c>
      <c r="C78" s="167"/>
      <c r="D78" s="287">
        <f>+'Draft-P&amp;L'!D49</f>
        <v>9420747.9100000001</v>
      </c>
      <c r="E78" s="54"/>
      <c r="F78" s="287">
        <v>9758497</v>
      </c>
    </row>
    <row r="79" spans="2:6" ht="34.5" thickBot="1">
      <c r="B79" s="64"/>
      <c r="C79" s="167"/>
      <c r="D79" s="285">
        <f>SUM(D77:D78)</f>
        <v>102046614.09</v>
      </c>
      <c r="E79" s="54"/>
      <c r="F79" s="285">
        <f>SUM(F77:F78)</f>
        <v>13160176.75</v>
      </c>
    </row>
    <row r="80" spans="2:6" ht="33.75" thickTop="1">
      <c r="B80" s="64"/>
      <c r="C80" s="167"/>
      <c r="D80" s="54"/>
      <c r="E80" s="54"/>
      <c r="F80" s="54"/>
    </row>
    <row r="81" spans="2:15" ht="33.75">
      <c r="B81" s="61" t="s">
        <v>233</v>
      </c>
      <c r="C81" s="159"/>
      <c r="D81" s="160"/>
      <c r="E81" s="54"/>
      <c r="F81" s="54"/>
    </row>
    <row r="82" spans="2:15" ht="33.75">
      <c r="B82" s="93" t="s">
        <v>267</v>
      </c>
      <c r="C82" s="159"/>
      <c r="D82" s="279">
        <f>+'Draft-P&amp;L'!D52</f>
        <v>10000000</v>
      </c>
      <c r="E82" s="54"/>
      <c r="F82" s="279">
        <v>10000000</v>
      </c>
    </row>
    <row r="83" spans="2:15" ht="33.75">
      <c r="B83" s="93" t="s">
        <v>268</v>
      </c>
      <c r="C83" s="159"/>
      <c r="D83" s="279">
        <f>+'Draft-P&amp;L'!D53</f>
        <v>94687102.890000001</v>
      </c>
      <c r="E83" s="54"/>
      <c r="F83" s="279">
        <v>75128214</v>
      </c>
    </row>
    <row r="84" spans="2:15" ht="33.75">
      <c r="B84" s="93" t="s">
        <v>269</v>
      </c>
      <c r="C84" s="159"/>
      <c r="D84" s="52">
        <f>+'Draft-P&amp;L'!D54</f>
        <v>0</v>
      </c>
      <c r="E84" s="54"/>
      <c r="F84" s="287">
        <v>3385224</v>
      </c>
    </row>
    <row r="85" spans="2:15" ht="33.75">
      <c r="B85" s="93" t="s">
        <v>270</v>
      </c>
      <c r="C85" s="159"/>
      <c r="D85" s="287">
        <f>+'Draft-P&amp;L'!D56</f>
        <v>3967286.02</v>
      </c>
      <c r="E85" s="54"/>
      <c r="F85" s="287">
        <v>2288491.5299999998</v>
      </c>
    </row>
    <row r="86" spans="2:15">
      <c r="B86" s="64" t="s">
        <v>234</v>
      </c>
      <c r="C86" s="167"/>
      <c r="D86" s="287">
        <f>+'Draft-P&amp;L'!D57</f>
        <v>411579.48</v>
      </c>
      <c r="E86" s="54"/>
      <c r="F86" s="287">
        <v>307553.65000000002</v>
      </c>
      <c r="H86" s="50" t="s">
        <v>234</v>
      </c>
      <c r="O86" s="71">
        <v>2852</v>
      </c>
    </row>
    <row r="87" spans="2:15">
      <c r="B87" s="64" t="s">
        <v>235</v>
      </c>
      <c r="C87" s="167"/>
      <c r="D87" s="287">
        <f>+'Draft-P&amp;L'!D58</f>
        <v>7765888.1100000003</v>
      </c>
      <c r="E87" s="54"/>
      <c r="F87" s="287">
        <v>6405252</v>
      </c>
      <c r="H87" s="50" t="s">
        <v>235</v>
      </c>
      <c r="O87" s="59">
        <v>5735287</v>
      </c>
    </row>
    <row r="88" spans="2:15">
      <c r="B88" s="64" t="s">
        <v>236</v>
      </c>
      <c r="C88" s="167"/>
      <c r="D88" s="279">
        <f>+'Draft-P&amp;L'!D59</f>
        <v>20224796.02</v>
      </c>
      <c r="E88" s="54"/>
      <c r="F88" s="287">
        <v>17925438.77</v>
      </c>
      <c r="H88" s="50" t="s">
        <v>236</v>
      </c>
      <c r="O88" s="59">
        <v>12816195.300000001</v>
      </c>
    </row>
    <row r="89" spans="2:15">
      <c r="B89" s="64" t="s">
        <v>237</v>
      </c>
      <c r="C89" s="167"/>
      <c r="D89" s="287">
        <f>+'Draft-P&amp;L'!D61</f>
        <v>1287572</v>
      </c>
      <c r="E89" s="54"/>
      <c r="F89" s="287">
        <v>1157480</v>
      </c>
      <c r="H89" s="50" t="s">
        <v>237</v>
      </c>
      <c r="O89" s="59">
        <v>1110458</v>
      </c>
    </row>
    <row r="90" spans="2:15">
      <c r="B90" s="64" t="s">
        <v>238</v>
      </c>
      <c r="C90" s="167"/>
      <c r="D90" s="287">
        <f>+'Draft-P&amp;L'!D62+1</f>
        <v>3963083.48</v>
      </c>
      <c r="E90" s="54"/>
      <c r="F90" s="287">
        <v>4658017.34</v>
      </c>
      <c r="H90" s="50" t="s">
        <v>238</v>
      </c>
      <c r="O90" s="59">
        <v>3422763.49</v>
      </c>
    </row>
    <row r="91" spans="2:15">
      <c r="B91" s="64" t="s">
        <v>239</v>
      </c>
      <c r="C91" s="167"/>
      <c r="D91" s="287">
        <f>+'Draft-P&amp;L'!D55</f>
        <v>6712674.04</v>
      </c>
      <c r="E91" s="54"/>
      <c r="F91" s="287">
        <v>2303798</v>
      </c>
      <c r="H91" s="50" t="s">
        <v>239</v>
      </c>
      <c r="O91" s="59">
        <v>1922674</v>
      </c>
    </row>
    <row r="92" spans="2:15">
      <c r="B92" s="64" t="s">
        <v>240</v>
      </c>
      <c r="C92" s="167"/>
      <c r="D92" s="286">
        <f>+'Draft-P&amp;L'!D63</f>
        <v>0</v>
      </c>
      <c r="E92" s="54"/>
      <c r="F92" s="286">
        <v>27900</v>
      </c>
      <c r="H92" s="50" t="s">
        <v>240</v>
      </c>
      <c r="O92" s="59">
        <v>128958</v>
      </c>
    </row>
    <row r="93" spans="2:15">
      <c r="B93" s="64" t="s">
        <v>241</v>
      </c>
      <c r="C93" s="167"/>
      <c r="D93" s="293">
        <f>+'Draft-P&amp;L'!D64</f>
        <v>87460</v>
      </c>
      <c r="E93" s="54"/>
      <c r="F93" s="293">
        <v>106195</v>
      </c>
      <c r="H93" s="50" t="s">
        <v>241</v>
      </c>
      <c r="O93" s="59">
        <v>295084</v>
      </c>
    </row>
    <row r="94" spans="2:15">
      <c r="B94" s="64" t="s">
        <v>242</v>
      </c>
      <c r="C94" s="167"/>
      <c r="D94" s="287">
        <f>+'Draft-P&amp;L'!D65</f>
        <v>615000</v>
      </c>
      <c r="E94" s="54"/>
      <c r="F94" s="287">
        <v>604500</v>
      </c>
      <c r="H94" s="50" t="s">
        <v>242</v>
      </c>
      <c r="O94" s="59">
        <v>688842</v>
      </c>
    </row>
    <row r="95" spans="2:15">
      <c r="B95" s="64" t="s">
        <v>249</v>
      </c>
      <c r="C95" s="167"/>
      <c r="D95" s="293">
        <f>+'Draft-P&amp;L'!D66</f>
        <v>74750</v>
      </c>
      <c r="E95" s="54"/>
      <c r="F95" s="293">
        <v>174425</v>
      </c>
      <c r="H95" s="50" t="s">
        <v>243</v>
      </c>
      <c r="O95" s="59">
        <v>68352</v>
      </c>
    </row>
    <row r="96" spans="2:15">
      <c r="B96" s="64" t="s">
        <v>244</v>
      </c>
      <c r="C96" s="167"/>
      <c r="D96" s="279">
        <f>+'Draft-P&amp;L'!D67</f>
        <v>66595711.530000001</v>
      </c>
      <c r="E96" s="54"/>
      <c r="F96" s="279">
        <v>51615150</v>
      </c>
      <c r="H96" s="50" t="s">
        <v>244</v>
      </c>
      <c r="O96" s="59">
        <v>9882596</v>
      </c>
    </row>
    <row r="97" spans="2:15">
      <c r="B97" s="64" t="s">
        <v>245</v>
      </c>
      <c r="C97" s="167"/>
      <c r="D97" s="287">
        <f>+'Draft-P&amp;L'!D68</f>
        <v>6251560.0800000001</v>
      </c>
      <c r="E97" s="54"/>
      <c r="F97" s="287">
        <v>5858941.2400000002</v>
      </c>
      <c r="H97" s="50" t="s">
        <v>245</v>
      </c>
      <c r="O97" s="59">
        <v>3827420.45</v>
      </c>
    </row>
    <row r="98" spans="2:15">
      <c r="B98" s="64" t="s">
        <v>250</v>
      </c>
      <c r="C98" s="167"/>
      <c r="D98" s="279">
        <f>+'Draft-P&amp;L'!D73</f>
        <v>48350003</v>
      </c>
      <c r="E98" s="54"/>
      <c r="F98" s="279">
        <v>24825004</v>
      </c>
      <c r="H98" s="50" t="s">
        <v>258</v>
      </c>
      <c r="O98" s="59">
        <v>22811995</v>
      </c>
    </row>
    <row r="99" spans="2:15">
      <c r="B99" s="64" t="s">
        <v>476</v>
      </c>
      <c r="C99" s="167"/>
      <c r="D99" s="279">
        <f>+'Draft-P&amp;L'!D60</f>
        <v>11550000</v>
      </c>
      <c r="E99" s="54"/>
      <c r="F99" s="287">
        <v>8660000</v>
      </c>
    </row>
    <row r="100" spans="2:15">
      <c r="B100" s="64" t="s">
        <v>257</v>
      </c>
      <c r="C100" s="167"/>
      <c r="D100" s="286">
        <f>+'Draft-P&amp;L'!D69</f>
        <v>0</v>
      </c>
      <c r="E100" s="54"/>
      <c r="F100" s="287">
        <v>4104923</v>
      </c>
    </row>
    <row r="101" spans="2:15" ht="34.5" thickBot="1">
      <c r="B101" s="66"/>
      <c r="C101" s="170"/>
      <c r="D101" s="285">
        <f>+SUM(D82:D100)-1</f>
        <v>282544465.64999998</v>
      </c>
      <c r="E101" s="55"/>
      <c r="F101" s="285">
        <f>+SUM(F82:F100)</f>
        <v>219536507.53000003</v>
      </c>
    </row>
    <row r="102" spans="2:15" ht="33.75" thickTop="1"/>
    <row r="110" spans="2:15">
      <c r="D110" s="59">
        <f>+D20+D24+D30</f>
        <v>11759151007.950001</v>
      </c>
    </row>
    <row r="111" spans="2:15">
      <c r="D111" s="59">
        <f>+D101+D79+D74+D69+D64+D59+D50+D43+D35</f>
        <v>10239592136.17</v>
      </c>
    </row>
    <row r="112" spans="2:15">
      <c r="D112" s="59">
        <f>+'Draft-P&amp;L'!E92</f>
        <v>1130304842.6100001</v>
      </c>
    </row>
    <row r="113" spans="4:5">
      <c r="D113" s="59">
        <f>+D110-D111-D112</f>
        <v>389254029.17000055</v>
      </c>
      <c r="E113" s="59">
        <f>+'Draft-P&amp;L'!E80-'Sch-PL'!D113</f>
        <v>-354427369.00000054</v>
      </c>
    </row>
  </sheetData>
  <mergeCells count="2">
    <mergeCell ref="B1:F1"/>
    <mergeCell ref="B3:F3"/>
  </mergeCells>
  <pageMargins left="0.65" right="0.28000000000000003" top="0.24" bottom="0.13" header="0.31496062992125984" footer="0.31496062992125984"/>
  <pageSetup paperSize="9" scale="30" orientation="portrait" r:id="rId1"/>
  <rowBreaks count="1" manualBreakCount="1">
    <brk id="69" min="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I101"/>
  <sheetViews>
    <sheetView showGridLines="0" zoomScale="90" zoomScaleNormal="90" workbookViewId="0">
      <pane ySplit="6" topLeftCell="A84" activePane="bottomLeft" state="frozen"/>
      <selection activeCell="C94" activeCellId="1" sqref="B1:I1048576 C94"/>
      <selection pane="bottomLeft" activeCell="G93" sqref="G93"/>
    </sheetView>
  </sheetViews>
  <sheetFormatPr defaultRowHeight="12"/>
  <cols>
    <col min="1" max="1" width="4.25" style="96" customWidth="1"/>
    <col min="2" max="2" width="4.875" style="98" bestFit="1" customWidth="1"/>
    <col min="3" max="3" width="37.5" style="96" bestFit="1" customWidth="1"/>
    <col min="4" max="4" width="14" style="104" bestFit="1" customWidth="1"/>
    <col min="5" max="5" width="14.25" style="104" bestFit="1" customWidth="1"/>
    <col min="6" max="6" width="4.125" style="98" customWidth="1"/>
    <col min="7" max="7" width="37.5" style="96" customWidth="1"/>
    <col min="8" max="8" width="14" style="104" bestFit="1" customWidth="1"/>
    <col min="9" max="9" width="14.875" style="104" bestFit="1" customWidth="1"/>
    <col min="10" max="16384" width="9" style="96"/>
  </cols>
  <sheetData>
    <row r="1" spans="1:9">
      <c r="B1" s="108"/>
      <c r="F1" s="108"/>
    </row>
    <row r="2" spans="1:9" ht="13.5">
      <c r="A2" s="131"/>
      <c r="B2" s="305" t="s">
        <v>273</v>
      </c>
      <c r="C2" s="305"/>
      <c r="D2" s="305"/>
      <c r="E2" s="305"/>
      <c r="F2" s="305"/>
      <c r="G2" s="305"/>
      <c r="H2" s="305"/>
      <c r="I2" s="305"/>
    </row>
    <row r="3" spans="1:9" ht="12.95" customHeight="1">
      <c r="A3" s="131"/>
      <c r="B3" s="305" t="s">
        <v>274</v>
      </c>
      <c r="C3" s="305"/>
      <c r="D3" s="305"/>
      <c r="E3" s="305"/>
      <c r="F3" s="305"/>
      <c r="G3" s="305"/>
      <c r="H3" s="305"/>
      <c r="I3" s="305"/>
    </row>
    <row r="4" spans="1:9" ht="12.95" customHeight="1">
      <c r="A4" s="131"/>
      <c r="B4" s="305" t="s">
        <v>275</v>
      </c>
      <c r="C4" s="305"/>
      <c r="D4" s="305"/>
      <c r="E4" s="305"/>
      <c r="F4" s="305"/>
      <c r="G4" s="305"/>
      <c r="H4" s="305"/>
      <c r="I4" s="305"/>
    </row>
    <row r="5" spans="1:9" ht="13.5">
      <c r="A5" s="131"/>
      <c r="B5" s="305" t="s">
        <v>484</v>
      </c>
      <c r="C5" s="305"/>
      <c r="D5" s="305"/>
      <c r="E5" s="305"/>
      <c r="F5" s="305"/>
      <c r="G5" s="305"/>
      <c r="H5" s="305"/>
      <c r="I5" s="305"/>
    </row>
    <row r="6" spans="1:9" ht="12.95" customHeight="1">
      <c r="A6" s="131"/>
      <c r="B6" s="310" t="s">
        <v>276</v>
      </c>
      <c r="C6" s="310"/>
      <c r="D6" s="310"/>
      <c r="E6" s="310"/>
      <c r="F6" s="310"/>
      <c r="G6" s="310"/>
      <c r="H6" s="310"/>
      <c r="I6" s="310"/>
    </row>
    <row r="7" spans="1:9" s="98" customFormat="1" ht="12.95" customHeight="1">
      <c r="A7" s="132"/>
      <c r="B7" s="133" t="s">
        <v>277</v>
      </c>
      <c r="C7" s="133" t="s">
        <v>278</v>
      </c>
      <c r="D7" s="134" t="s">
        <v>279</v>
      </c>
      <c r="E7" s="134" t="s">
        <v>279</v>
      </c>
      <c r="F7" s="133" t="s">
        <v>277</v>
      </c>
      <c r="G7" s="133" t="s">
        <v>280</v>
      </c>
      <c r="H7" s="134" t="s">
        <v>279</v>
      </c>
      <c r="I7" s="134" t="s">
        <v>279</v>
      </c>
    </row>
    <row r="8" spans="1:9" ht="15" customHeight="1">
      <c r="A8" s="131"/>
      <c r="B8" s="135">
        <v>1</v>
      </c>
      <c r="C8" s="136" t="s">
        <v>281</v>
      </c>
      <c r="D8" s="137" t="s">
        <v>2</v>
      </c>
      <c r="E8" s="137"/>
      <c r="F8" s="138">
        <v>1</v>
      </c>
      <c r="G8" s="136" t="s">
        <v>49</v>
      </c>
      <c r="H8" s="137" t="s">
        <v>2</v>
      </c>
      <c r="I8" s="137"/>
    </row>
    <row r="9" spans="1:9" ht="15" customHeight="1">
      <c r="A9" s="131"/>
      <c r="B9" s="135"/>
      <c r="C9" s="139" t="s">
        <v>282</v>
      </c>
      <c r="D9" s="140">
        <f>4768317822.68+421182650</f>
        <v>5189500472.6800003</v>
      </c>
      <c r="E9" s="137"/>
      <c r="F9" s="138"/>
      <c r="G9" s="139" t="s">
        <v>283</v>
      </c>
      <c r="H9" s="140">
        <v>2019647612.6800001</v>
      </c>
      <c r="I9" s="137"/>
    </row>
    <row r="10" spans="1:9" ht="15" customHeight="1">
      <c r="A10" s="131"/>
      <c r="B10" s="135"/>
      <c r="C10" s="139" t="s">
        <v>202</v>
      </c>
      <c r="D10" s="140">
        <v>4127309279</v>
      </c>
      <c r="E10" s="140">
        <f>SUM(D9:D10)</f>
        <v>9316809751.6800003</v>
      </c>
      <c r="F10" s="138"/>
      <c r="G10" s="139" t="s">
        <v>284</v>
      </c>
      <c r="H10" s="140">
        <v>1084712937</v>
      </c>
      <c r="I10" s="137"/>
    </row>
    <row r="11" spans="1:9" ht="14.1" customHeight="1">
      <c r="A11" s="131"/>
      <c r="B11" s="135"/>
      <c r="C11" s="139"/>
      <c r="D11" s="137"/>
      <c r="E11" s="137"/>
      <c r="F11" s="138"/>
      <c r="G11" s="139" t="s">
        <v>189</v>
      </c>
      <c r="H11" s="140">
        <f>7975271163.42+421182650</f>
        <v>8396453813.4200001</v>
      </c>
      <c r="I11" s="140">
        <f>SUM(H9:H11)</f>
        <v>11500814363.1</v>
      </c>
    </row>
    <row r="12" spans="1:9" ht="15" customHeight="1">
      <c r="A12" s="131"/>
      <c r="B12" s="135">
        <v>2</v>
      </c>
      <c r="C12" s="136" t="s">
        <v>285</v>
      </c>
      <c r="D12" s="137" t="s">
        <v>2</v>
      </c>
      <c r="E12" s="137"/>
      <c r="F12" s="138"/>
      <c r="G12" s="139" t="s">
        <v>286</v>
      </c>
      <c r="H12" s="140">
        <f>759615.4+42373</f>
        <v>801988.4</v>
      </c>
      <c r="I12" s="137"/>
    </row>
    <row r="13" spans="1:9" ht="15" customHeight="1">
      <c r="A13" s="131"/>
      <c r="B13" s="135"/>
      <c r="C13" s="139" t="s">
        <v>204</v>
      </c>
      <c r="D13" s="140">
        <v>363027118.55000001</v>
      </c>
      <c r="E13" s="137"/>
      <c r="F13" s="138"/>
      <c r="G13" s="139" t="s">
        <v>287</v>
      </c>
      <c r="H13" s="141">
        <v>0</v>
      </c>
      <c r="I13" s="137"/>
    </row>
    <row r="14" spans="1:9" ht="15" customHeight="1">
      <c r="A14" s="131"/>
      <c r="B14" s="135"/>
      <c r="C14" s="139" t="s">
        <v>205</v>
      </c>
      <c r="D14" s="140">
        <v>3902612</v>
      </c>
      <c r="E14" s="137"/>
      <c r="F14" s="138"/>
      <c r="G14" s="139" t="s">
        <v>288</v>
      </c>
      <c r="H14" s="140"/>
      <c r="I14" s="137"/>
    </row>
    <row r="15" spans="1:9" ht="15" customHeight="1">
      <c r="A15" s="131"/>
      <c r="B15" s="135"/>
      <c r="C15" s="139" t="s">
        <v>206</v>
      </c>
      <c r="D15" s="140">
        <v>38727087</v>
      </c>
      <c r="E15" s="140">
        <f>SUM(D13:D15)</f>
        <v>405656817.55000001</v>
      </c>
      <c r="F15" s="138"/>
      <c r="G15" s="139" t="s">
        <v>289</v>
      </c>
      <c r="H15" s="140">
        <v>20000000</v>
      </c>
      <c r="I15" s="137"/>
    </row>
    <row r="16" spans="1:9" ht="14.1" customHeight="1">
      <c r="A16" s="131"/>
      <c r="B16" s="135"/>
      <c r="C16" s="139"/>
      <c r="D16" s="137"/>
      <c r="E16" s="137"/>
      <c r="F16" s="138"/>
      <c r="G16" s="139" t="s">
        <v>290</v>
      </c>
      <c r="H16" s="140">
        <v>118400000</v>
      </c>
      <c r="I16" s="140">
        <f>SUM(H12:H16)</f>
        <v>139201988.40000001</v>
      </c>
    </row>
    <row r="17" spans="1:9" ht="14.1" customHeight="1">
      <c r="A17" s="131"/>
      <c r="B17" s="135">
        <v>3</v>
      </c>
      <c r="C17" s="136" t="s">
        <v>291</v>
      </c>
      <c r="D17" s="137"/>
      <c r="E17" s="137"/>
      <c r="F17" s="138"/>
      <c r="G17" s="139"/>
      <c r="H17" s="137"/>
      <c r="I17" s="137"/>
    </row>
    <row r="18" spans="1:9" ht="15" customHeight="1">
      <c r="A18" s="131"/>
      <c r="B18" s="135"/>
      <c r="C18" s="136" t="s">
        <v>292</v>
      </c>
      <c r="D18" s="137" t="s">
        <v>2</v>
      </c>
      <c r="E18" s="137"/>
      <c r="F18" s="138">
        <v>2</v>
      </c>
      <c r="G18" s="136" t="s">
        <v>293</v>
      </c>
      <c r="H18" s="137" t="s">
        <v>2</v>
      </c>
      <c r="I18" s="137"/>
    </row>
    <row r="19" spans="1:9" ht="15" customHeight="1">
      <c r="A19" s="131"/>
      <c r="B19" s="135"/>
      <c r="C19" s="139" t="s">
        <v>208</v>
      </c>
      <c r="D19" s="140">
        <v>300000</v>
      </c>
      <c r="E19" s="137"/>
      <c r="F19" s="138"/>
      <c r="G19" s="139" t="s">
        <v>294</v>
      </c>
      <c r="H19" s="140">
        <v>18948510.620000001</v>
      </c>
      <c r="I19" s="140">
        <f>+H19</f>
        <v>18948510.620000001</v>
      </c>
    </row>
    <row r="20" spans="1:9" ht="14.1" customHeight="1">
      <c r="A20" s="131"/>
      <c r="B20" s="135"/>
      <c r="C20" s="139" t="s">
        <v>209</v>
      </c>
      <c r="D20" s="140">
        <v>180000</v>
      </c>
      <c r="E20" s="137"/>
      <c r="F20" s="138"/>
      <c r="G20" s="139"/>
      <c r="H20" s="137"/>
      <c r="I20" s="137"/>
    </row>
    <row r="21" spans="1:9" ht="15" customHeight="1">
      <c r="A21" s="131"/>
      <c r="B21" s="135"/>
      <c r="C21" s="139" t="s">
        <v>210</v>
      </c>
      <c r="D21" s="140">
        <v>6506565</v>
      </c>
      <c r="E21" s="137"/>
      <c r="F21" s="138">
        <v>3</v>
      </c>
      <c r="G21" s="136" t="s">
        <v>271</v>
      </c>
      <c r="H21" s="137" t="s">
        <v>2</v>
      </c>
      <c r="I21" s="137"/>
    </row>
    <row r="22" spans="1:9" ht="15" customHeight="1">
      <c r="A22" s="131"/>
      <c r="B22" s="135"/>
      <c r="C22" s="139" t="s">
        <v>211</v>
      </c>
      <c r="D22" s="137">
        <v>14078537.92</v>
      </c>
      <c r="E22" s="140">
        <f>SUM(D19:D22)</f>
        <v>21065102.920000002</v>
      </c>
      <c r="F22" s="138"/>
      <c r="G22" s="139" t="s">
        <v>295</v>
      </c>
      <c r="H22" s="140">
        <v>30090000</v>
      </c>
      <c r="I22" s="140">
        <f>+H22</f>
        <v>30090000</v>
      </c>
    </row>
    <row r="23" spans="1:9" ht="14.1" customHeight="1">
      <c r="A23" s="131"/>
      <c r="B23" s="135"/>
      <c r="C23" s="139"/>
      <c r="D23" s="137"/>
      <c r="E23" s="137"/>
      <c r="F23" s="138"/>
      <c r="G23" s="139" t="s">
        <v>296</v>
      </c>
      <c r="H23" s="140">
        <f>23300+153500+192800+670512.13</f>
        <v>1040112.13</v>
      </c>
      <c r="I23" s="137"/>
    </row>
    <row r="24" spans="1:9" ht="15" customHeight="1">
      <c r="A24" s="131"/>
      <c r="B24" s="135">
        <v>4</v>
      </c>
      <c r="C24" s="136" t="s">
        <v>297</v>
      </c>
      <c r="D24" s="137" t="s">
        <v>2</v>
      </c>
      <c r="E24" s="137"/>
      <c r="F24" s="138"/>
      <c r="G24" s="139" t="s">
        <v>298</v>
      </c>
      <c r="H24" s="140">
        <v>153611</v>
      </c>
      <c r="I24" s="137"/>
    </row>
    <row r="25" spans="1:9" ht="15" customHeight="1">
      <c r="A25" s="131"/>
      <c r="B25" s="135"/>
      <c r="C25" s="139" t="s">
        <v>213</v>
      </c>
      <c r="D25" s="140">
        <v>20636700.5</v>
      </c>
      <c r="E25" s="137"/>
      <c r="F25" s="138"/>
      <c r="G25" s="139" t="s">
        <v>299</v>
      </c>
      <c r="H25" s="140">
        <v>2442835.73</v>
      </c>
      <c r="I25" s="137"/>
    </row>
    <row r="26" spans="1:9" ht="15" customHeight="1">
      <c r="A26" s="131"/>
      <c r="B26" s="135"/>
      <c r="C26" s="139" t="s">
        <v>214</v>
      </c>
      <c r="D26" s="140">
        <v>1185390</v>
      </c>
      <c r="E26" s="137"/>
      <c r="F26" s="138"/>
      <c r="G26" s="139" t="s">
        <v>300</v>
      </c>
      <c r="H26" s="140">
        <v>6671099</v>
      </c>
      <c r="I26" s="137"/>
    </row>
    <row r="27" spans="1:9" ht="15" customHeight="1">
      <c r="A27" s="131"/>
      <c r="B27" s="135"/>
      <c r="C27" s="139" t="s">
        <v>215</v>
      </c>
      <c r="D27" s="140">
        <v>107500</v>
      </c>
      <c r="E27" s="137"/>
      <c r="F27" s="138"/>
      <c r="G27" s="139" t="s">
        <v>301</v>
      </c>
      <c r="H27" s="140">
        <v>57680480.420000002</v>
      </c>
      <c r="I27" s="137"/>
    </row>
    <row r="28" spans="1:9" ht="15" customHeight="1">
      <c r="A28" s="131"/>
      <c r="B28" s="135"/>
      <c r="C28" s="139" t="s">
        <v>216</v>
      </c>
      <c r="D28" s="140">
        <v>39293623.5</v>
      </c>
      <c r="E28" s="137"/>
      <c r="F28" s="138"/>
      <c r="G28" s="139" t="s">
        <v>302</v>
      </c>
      <c r="H28" s="140">
        <v>1927668</v>
      </c>
      <c r="I28" s="137"/>
    </row>
    <row r="29" spans="1:9" ht="15" customHeight="1">
      <c r="A29" s="131"/>
      <c r="B29" s="135"/>
      <c r="C29" s="139" t="s">
        <v>217</v>
      </c>
      <c r="D29" s="140">
        <f>6929194+106756.12+35455</f>
        <v>7071405.1200000001</v>
      </c>
      <c r="E29" s="137"/>
      <c r="F29" s="138"/>
      <c r="G29" s="139" t="s">
        <v>303</v>
      </c>
      <c r="H29" s="140">
        <v>180339.55</v>
      </c>
      <c r="I29" s="140">
        <f>SUM(H23:H29)</f>
        <v>70096145.829999998</v>
      </c>
    </row>
    <row r="30" spans="1:9" ht="14.1" customHeight="1">
      <c r="A30" s="131"/>
      <c r="B30" s="135"/>
      <c r="C30" s="139" t="s">
        <v>218</v>
      </c>
      <c r="D30" s="140">
        <v>702809</v>
      </c>
      <c r="E30" s="140">
        <f>SUM(D25:D30)</f>
        <v>68997428.120000005</v>
      </c>
      <c r="F30" s="138"/>
      <c r="G30" s="139"/>
      <c r="H30" s="137"/>
      <c r="I30" s="137"/>
    </row>
    <row r="31" spans="1:9" ht="12.95" customHeight="1">
      <c r="B31" s="111"/>
      <c r="C31" s="101"/>
      <c r="D31" s="92"/>
      <c r="E31" s="92"/>
      <c r="F31" s="99"/>
      <c r="G31" s="101"/>
      <c r="H31" s="92"/>
      <c r="I31" s="92"/>
    </row>
    <row r="32" spans="1:9" ht="14.1" customHeight="1">
      <c r="B32" s="111">
        <v>5</v>
      </c>
      <c r="C32" s="100" t="s">
        <v>30</v>
      </c>
      <c r="D32" s="92" t="s">
        <v>2</v>
      </c>
      <c r="E32" s="92"/>
      <c r="F32" s="99"/>
      <c r="G32" s="101"/>
      <c r="H32" s="92"/>
      <c r="I32" s="92"/>
    </row>
    <row r="33" spans="2:9" ht="14.1" customHeight="1">
      <c r="B33" s="111"/>
      <c r="C33" s="101" t="s">
        <v>304</v>
      </c>
      <c r="D33" s="102">
        <v>429395</v>
      </c>
      <c r="E33" s="102">
        <f>+D33</f>
        <v>429395</v>
      </c>
      <c r="F33" s="99"/>
      <c r="G33" s="101"/>
      <c r="H33" s="92"/>
      <c r="I33" s="92"/>
    </row>
    <row r="34" spans="2:9" ht="12.95" customHeight="1">
      <c r="B34" s="111"/>
      <c r="C34" s="101"/>
      <c r="D34" s="92"/>
      <c r="E34" s="92"/>
      <c r="F34" s="99"/>
      <c r="G34" s="101"/>
      <c r="H34" s="92"/>
      <c r="I34" s="92"/>
    </row>
    <row r="35" spans="2:9" ht="14.1" customHeight="1">
      <c r="B35" s="111">
        <v>6</v>
      </c>
      <c r="C35" s="100" t="s">
        <v>305</v>
      </c>
      <c r="D35" s="92" t="s">
        <v>2</v>
      </c>
      <c r="E35" s="92"/>
      <c r="F35" s="99"/>
      <c r="G35" s="101"/>
      <c r="H35" s="92"/>
      <c r="I35" s="92"/>
    </row>
    <row r="36" spans="2:9" ht="14.1" customHeight="1">
      <c r="B36" s="111"/>
      <c r="C36" s="101" t="s">
        <v>220</v>
      </c>
      <c r="D36" s="102">
        <f>547906.8+42914.1</f>
        <v>590820.9</v>
      </c>
      <c r="E36" s="92"/>
      <c r="F36" s="99"/>
      <c r="G36" s="101"/>
      <c r="H36" s="92"/>
      <c r="I36" s="92"/>
    </row>
    <row r="37" spans="2:9" ht="14.1" customHeight="1">
      <c r="B37" s="111"/>
      <c r="C37" s="101" t="s">
        <v>221</v>
      </c>
      <c r="D37" s="102">
        <v>3578864.57</v>
      </c>
      <c r="E37" s="102">
        <f>SUM(D36:D37)</f>
        <v>4169685.4699999997</v>
      </c>
      <c r="F37" s="99"/>
      <c r="G37" s="101"/>
      <c r="H37" s="92"/>
      <c r="I37" s="92"/>
    </row>
    <row r="38" spans="2:9" ht="12.95" customHeight="1">
      <c r="B38" s="111"/>
      <c r="C38" s="101"/>
      <c r="D38" s="92"/>
      <c r="E38" s="92"/>
      <c r="F38" s="99"/>
      <c r="G38" s="101"/>
      <c r="H38" s="92"/>
      <c r="I38" s="92"/>
    </row>
    <row r="39" spans="2:9" ht="14.1" customHeight="1">
      <c r="B39" s="111">
        <v>7</v>
      </c>
      <c r="C39" s="100" t="s">
        <v>32</v>
      </c>
      <c r="D39" s="92" t="s">
        <v>2</v>
      </c>
      <c r="E39" s="92"/>
      <c r="F39" s="99"/>
      <c r="G39" s="101"/>
      <c r="H39" s="92"/>
      <c r="I39" s="92"/>
    </row>
    <row r="40" spans="2:9" ht="14.1" customHeight="1">
      <c r="B40" s="111"/>
      <c r="C40" s="101" t="s">
        <v>227</v>
      </c>
      <c r="D40" s="102">
        <f>452931.89+448609.35</f>
        <v>901541.24</v>
      </c>
      <c r="E40" s="92"/>
      <c r="F40" s="99"/>
      <c r="G40" s="101"/>
      <c r="H40" s="92"/>
      <c r="I40" s="92"/>
    </row>
    <row r="41" spans="2:9" ht="14.1" customHeight="1">
      <c r="B41" s="111"/>
      <c r="C41" s="101" t="s">
        <v>228</v>
      </c>
      <c r="D41" s="102">
        <f>20010+12635.84+1316103.79</f>
        <v>1348749.6300000001</v>
      </c>
      <c r="E41" s="92"/>
      <c r="F41" s="99"/>
      <c r="G41" s="101"/>
      <c r="H41" s="92"/>
      <c r="I41" s="92"/>
    </row>
    <row r="42" spans="2:9" ht="14.1" customHeight="1">
      <c r="B42" s="111"/>
      <c r="C42" s="101" t="s">
        <v>229</v>
      </c>
      <c r="D42" s="102">
        <f>3036716.82+11843</f>
        <v>3048559.82</v>
      </c>
      <c r="E42" s="102">
        <f>SUM(D40:D42)</f>
        <v>5298850.6899999995</v>
      </c>
      <c r="F42" s="99"/>
      <c r="G42" s="101"/>
      <c r="H42" s="92"/>
      <c r="I42" s="92"/>
    </row>
    <row r="43" spans="2:9" ht="12.95" customHeight="1">
      <c r="B43" s="111"/>
      <c r="C43" s="101"/>
      <c r="D43" s="92"/>
      <c r="E43" s="92"/>
      <c r="F43" s="99"/>
      <c r="G43" s="101"/>
      <c r="H43" s="92"/>
      <c r="I43" s="92"/>
    </row>
    <row r="44" spans="2:9" ht="14.1" customHeight="1">
      <c r="B44" s="111">
        <v>8</v>
      </c>
      <c r="C44" s="100" t="s">
        <v>306</v>
      </c>
      <c r="D44" s="92" t="s">
        <v>2</v>
      </c>
      <c r="E44" s="92"/>
      <c r="F44" s="99"/>
      <c r="G44" s="101"/>
      <c r="H44" s="92"/>
      <c r="I44" s="92"/>
    </row>
    <row r="45" spans="2:9" ht="14.1" customHeight="1">
      <c r="B45" s="111"/>
      <c r="C45" s="101" t="s">
        <v>307</v>
      </c>
      <c r="D45" s="102">
        <v>7506000</v>
      </c>
      <c r="E45" s="102">
        <f>+D45</f>
        <v>7506000</v>
      </c>
      <c r="F45" s="99"/>
      <c r="G45" s="101"/>
      <c r="H45" s="92"/>
      <c r="I45" s="92"/>
    </row>
    <row r="46" spans="2:9" ht="12.95" customHeight="1">
      <c r="B46" s="111"/>
      <c r="C46" s="101"/>
      <c r="D46" s="92"/>
      <c r="E46" s="92"/>
      <c r="F46" s="99"/>
      <c r="G46" s="101"/>
      <c r="H46" s="92"/>
      <c r="I46" s="92"/>
    </row>
    <row r="47" spans="2:9" ht="14.1" customHeight="1">
      <c r="B47" s="111">
        <v>9</v>
      </c>
      <c r="C47" s="100" t="s">
        <v>33</v>
      </c>
      <c r="D47" s="92" t="s">
        <v>2</v>
      </c>
      <c r="E47" s="92"/>
      <c r="F47" s="99"/>
      <c r="G47" s="101"/>
      <c r="H47" s="92"/>
      <c r="I47" s="92"/>
    </row>
    <row r="48" spans="2:9" ht="14.1" customHeight="1">
      <c r="B48" s="111"/>
      <c r="C48" s="101" t="s">
        <v>231</v>
      </c>
      <c r="D48" s="102">
        <f>90129740.87+2496125.31</f>
        <v>92625866.180000007</v>
      </c>
      <c r="E48" s="92"/>
      <c r="F48" s="99"/>
      <c r="G48" s="101"/>
      <c r="H48" s="92"/>
      <c r="I48" s="92"/>
    </row>
    <row r="49" spans="2:9" ht="14.1" customHeight="1">
      <c r="B49" s="111"/>
      <c r="C49" s="101" t="s">
        <v>232</v>
      </c>
      <c r="D49" s="102">
        <f>19420747.91-10000000</f>
        <v>9420747.9100000001</v>
      </c>
      <c r="E49" s="102">
        <f>SUM(D48:D49)</f>
        <v>102046614.09</v>
      </c>
      <c r="F49" s="99"/>
      <c r="G49" s="101"/>
      <c r="H49" s="92"/>
      <c r="I49" s="92"/>
    </row>
    <row r="50" spans="2:9" ht="12.95" customHeight="1">
      <c r="B50" s="111"/>
      <c r="C50" s="101"/>
      <c r="D50" s="92"/>
      <c r="E50" s="92"/>
      <c r="F50" s="99"/>
      <c r="G50" s="101"/>
      <c r="H50" s="92"/>
      <c r="I50" s="92"/>
    </row>
    <row r="51" spans="2:9" ht="14.1" customHeight="1">
      <c r="B51" s="111">
        <v>10</v>
      </c>
      <c r="C51" s="100" t="s">
        <v>308</v>
      </c>
      <c r="D51" s="92" t="s">
        <v>2</v>
      </c>
      <c r="E51" s="92"/>
      <c r="F51" s="99"/>
      <c r="G51" s="101"/>
      <c r="H51" s="92"/>
      <c r="I51" s="92"/>
    </row>
    <row r="52" spans="2:9" ht="14.1" customHeight="1">
      <c r="B52" s="111"/>
      <c r="C52" s="101" t="s">
        <v>309</v>
      </c>
      <c r="D52" s="102">
        <v>10000000</v>
      </c>
      <c r="E52" s="92"/>
      <c r="F52" s="99"/>
      <c r="G52" s="101"/>
      <c r="H52" s="92"/>
      <c r="I52" s="92"/>
    </row>
    <row r="53" spans="2:9" ht="14.1" customHeight="1">
      <c r="B53" s="111"/>
      <c r="C53" s="101" t="s">
        <v>310</v>
      </c>
      <c r="D53" s="102">
        <v>94687102.890000001</v>
      </c>
      <c r="E53" s="92"/>
      <c r="F53" s="99"/>
      <c r="G53" s="101"/>
      <c r="H53" s="92"/>
      <c r="I53" s="92"/>
    </row>
    <row r="54" spans="2:9" ht="14.1" customHeight="1">
      <c r="B54" s="111"/>
      <c r="C54" s="101" t="s">
        <v>311</v>
      </c>
      <c r="D54" s="102"/>
      <c r="E54" s="92"/>
      <c r="F54" s="99"/>
      <c r="G54" s="101"/>
      <c r="H54" s="92"/>
      <c r="I54" s="92"/>
    </row>
    <row r="55" spans="2:9" ht="14.1" customHeight="1">
      <c r="B55" s="111"/>
      <c r="C55" s="101" t="s">
        <v>312</v>
      </c>
      <c r="D55" s="102">
        <f>1442053.04+5270621</f>
        <v>6712674.04</v>
      </c>
      <c r="E55" s="92"/>
      <c r="F55" s="99"/>
      <c r="G55" s="101"/>
      <c r="H55" s="92"/>
      <c r="I55" s="92"/>
    </row>
    <row r="56" spans="2:9" ht="14.1" customHeight="1">
      <c r="B56" s="111"/>
      <c r="C56" s="101" t="s">
        <v>313</v>
      </c>
      <c r="D56" s="102">
        <v>3967286.02</v>
      </c>
      <c r="E56" s="92"/>
      <c r="F56" s="99"/>
      <c r="G56" s="101"/>
      <c r="H56" s="92"/>
      <c r="I56" s="92"/>
    </row>
    <row r="57" spans="2:9" ht="14.1" customHeight="1">
      <c r="B57" s="111"/>
      <c r="C57" s="101" t="s">
        <v>314</v>
      </c>
      <c r="D57" s="102">
        <v>411579.48</v>
      </c>
      <c r="E57" s="92"/>
      <c r="F57" s="99"/>
      <c r="G57" s="101"/>
      <c r="H57" s="92"/>
      <c r="I57" s="92"/>
    </row>
    <row r="58" spans="2:9" ht="14.1" customHeight="1">
      <c r="B58" s="111"/>
      <c r="C58" s="101" t="s">
        <v>235</v>
      </c>
      <c r="D58" s="102">
        <v>7765888.1100000003</v>
      </c>
      <c r="E58" s="92"/>
      <c r="F58" s="99"/>
      <c r="G58" s="101"/>
      <c r="H58" s="92"/>
      <c r="I58" s="92"/>
    </row>
    <row r="59" spans="2:9" ht="14.1" customHeight="1">
      <c r="B59" s="111"/>
      <c r="C59" s="101" t="s">
        <v>236</v>
      </c>
      <c r="D59" s="102">
        <f>15743558.58+2110927.95+693442.16+32307.4+46940+1597619.93</f>
        <v>20224796.02</v>
      </c>
      <c r="E59" s="92"/>
      <c r="F59" s="99"/>
      <c r="G59" s="101"/>
      <c r="H59" s="92"/>
      <c r="I59" s="92"/>
    </row>
    <row r="60" spans="2:9" ht="14.1" customHeight="1">
      <c r="B60" s="111"/>
      <c r="C60" s="101" t="s">
        <v>315</v>
      </c>
      <c r="D60" s="102">
        <v>11550000</v>
      </c>
      <c r="E60" s="92"/>
      <c r="F60" s="99"/>
      <c r="G60" s="101"/>
      <c r="H60" s="92"/>
      <c r="I60" s="92"/>
    </row>
    <row r="61" spans="2:9" ht="14.1" customHeight="1">
      <c r="B61" s="111"/>
      <c r="C61" s="101" t="s">
        <v>237</v>
      </c>
      <c r="D61" s="102">
        <v>1287572</v>
      </c>
      <c r="E61" s="92"/>
      <c r="F61" s="99"/>
      <c r="G61" s="101"/>
      <c r="H61" s="92"/>
      <c r="I61" s="92"/>
    </row>
    <row r="62" spans="2:9" ht="14.1" customHeight="1">
      <c r="B62" s="111"/>
      <c r="C62" s="101" t="s">
        <v>238</v>
      </c>
      <c r="D62" s="102">
        <f>623222.09+1039543.21+2300317.18</f>
        <v>3963082.48</v>
      </c>
      <c r="E62" s="92"/>
      <c r="F62" s="99"/>
      <c r="G62" s="101">
        <f>+E94-342500000</f>
        <v>0</v>
      </c>
      <c r="H62" s="92"/>
      <c r="I62" s="92"/>
    </row>
    <row r="63" spans="2:9" ht="14.1" customHeight="1">
      <c r="B63" s="111"/>
      <c r="C63" s="101" t="s">
        <v>240</v>
      </c>
      <c r="D63" s="92"/>
      <c r="E63" s="92"/>
      <c r="F63" s="99"/>
      <c r="G63" s="101"/>
      <c r="H63" s="92"/>
      <c r="I63" s="92"/>
    </row>
    <row r="64" spans="2:9" ht="14.1" customHeight="1">
      <c r="B64" s="111"/>
      <c r="C64" s="101" t="s">
        <v>241</v>
      </c>
      <c r="D64" s="102">
        <v>87460</v>
      </c>
      <c r="E64" s="92"/>
      <c r="F64" s="99"/>
      <c r="G64" s="101"/>
      <c r="H64" s="92"/>
      <c r="I64" s="92"/>
    </row>
    <row r="65" spans="2:9" ht="14.1" customHeight="1">
      <c r="B65" s="111"/>
      <c r="C65" s="101" t="s">
        <v>242</v>
      </c>
      <c r="D65" s="102">
        <v>615000</v>
      </c>
      <c r="E65" s="92"/>
      <c r="F65" s="99"/>
      <c r="G65" s="101"/>
      <c r="H65" s="92"/>
      <c r="I65" s="92"/>
    </row>
    <row r="66" spans="2:9" ht="14.1" customHeight="1">
      <c r="B66" s="111"/>
      <c r="C66" s="101" t="s">
        <v>249</v>
      </c>
      <c r="D66" s="102">
        <v>74750</v>
      </c>
      <c r="E66" s="92"/>
      <c r="F66" s="99"/>
      <c r="G66" s="101"/>
      <c r="H66" s="92"/>
      <c r="I66" s="92"/>
    </row>
    <row r="67" spans="2:9" ht="14.1" customHeight="1">
      <c r="B67" s="111"/>
      <c r="C67" s="101" t="s">
        <v>244</v>
      </c>
      <c r="D67" s="102">
        <v>66595711.530000001</v>
      </c>
      <c r="E67" s="92"/>
      <c r="F67" s="99"/>
      <c r="G67" s="101"/>
      <c r="H67" s="92"/>
      <c r="I67" s="92"/>
    </row>
    <row r="68" spans="2:9" ht="14.1" customHeight="1">
      <c r="B68" s="111"/>
      <c r="C68" s="101" t="s">
        <v>245</v>
      </c>
      <c r="D68" s="102">
        <f>4488469.18+1763090.9</f>
        <v>6251560.0800000001</v>
      </c>
      <c r="E68" s="92"/>
      <c r="F68" s="99"/>
      <c r="G68" s="101"/>
      <c r="H68" s="92"/>
      <c r="I68" s="92"/>
    </row>
    <row r="69" spans="2:9" ht="14.1" customHeight="1">
      <c r="B69" s="111"/>
      <c r="C69" s="101" t="s">
        <v>316</v>
      </c>
      <c r="D69" s="102"/>
      <c r="E69" s="92"/>
      <c r="F69" s="99"/>
      <c r="G69" s="101"/>
      <c r="H69" s="92"/>
      <c r="I69" s="92"/>
    </row>
    <row r="70" spans="2:9" ht="14.1" customHeight="1">
      <c r="B70" s="111"/>
      <c r="C70" s="101" t="s">
        <v>246</v>
      </c>
      <c r="D70" s="102">
        <v>16044101</v>
      </c>
      <c r="E70" s="92"/>
      <c r="F70" s="99"/>
      <c r="G70" s="101"/>
      <c r="H70" s="92"/>
      <c r="I70" s="92"/>
    </row>
    <row r="71" spans="2:9" ht="14.1" customHeight="1">
      <c r="B71" s="111"/>
      <c r="C71" s="101" t="s">
        <v>247</v>
      </c>
      <c r="D71" s="102">
        <v>9453319</v>
      </c>
      <c r="E71" s="92"/>
      <c r="F71" s="99"/>
      <c r="G71" s="101"/>
      <c r="H71" s="92"/>
      <c r="I71" s="92"/>
    </row>
    <row r="72" spans="2:9" ht="14.1" customHeight="1">
      <c r="B72" s="111"/>
      <c r="C72" s="101" t="s">
        <v>317</v>
      </c>
      <c r="D72" s="92"/>
      <c r="E72" s="92"/>
      <c r="F72" s="99"/>
      <c r="G72" s="101"/>
      <c r="H72" s="92"/>
      <c r="I72" s="92"/>
    </row>
    <row r="73" spans="2:9" ht="14.1" customHeight="1">
      <c r="B73" s="111"/>
      <c r="C73" s="101" t="s">
        <v>318</v>
      </c>
      <c r="D73" s="92">
        <v>48350003</v>
      </c>
      <c r="E73" s="92"/>
      <c r="F73" s="99"/>
      <c r="G73" s="101"/>
      <c r="H73" s="92"/>
      <c r="I73" s="92"/>
    </row>
    <row r="74" spans="2:9" ht="14.1" customHeight="1">
      <c r="B74" s="111"/>
      <c r="C74" s="101" t="s">
        <v>319</v>
      </c>
      <c r="D74" s="112"/>
      <c r="E74" s="92"/>
      <c r="F74" s="99"/>
      <c r="G74" s="101"/>
      <c r="H74" s="92"/>
      <c r="I74" s="92"/>
    </row>
    <row r="75" spans="2:9" ht="14.1" customHeight="1">
      <c r="B75" s="111"/>
      <c r="C75" s="101" t="s">
        <v>320</v>
      </c>
      <c r="D75" s="102"/>
      <c r="E75" s="92"/>
      <c r="F75" s="99"/>
      <c r="G75" s="101"/>
      <c r="H75" s="92"/>
      <c r="I75" s="92"/>
    </row>
    <row r="76" spans="2:9" ht="14.1" customHeight="1">
      <c r="B76" s="111"/>
      <c r="C76" s="101" t="s">
        <v>321</v>
      </c>
      <c r="D76" s="102"/>
      <c r="E76" s="92"/>
      <c r="F76" s="99"/>
      <c r="G76" s="101"/>
      <c r="H76" s="92"/>
      <c r="I76" s="92"/>
    </row>
    <row r="77" spans="2:9" ht="14.1" customHeight="1">
      <c r="B77" s="111"/>
      <c r="C77" s="101" t="s">
        <v>322</v>
      </c>
      <c r="D77" s="102">
        <v>11497974</v>
      </c>
      <c r="E77" s="92"/>
      <c r="F77" s="99"/>
      <c r="G77" s="101"/>
      <c r="H77" s="92"/>
      <c r="I77" s="92"/>
    </row>
    <row r="78" spans="2:9" ht="14.1" customHeight="1">
      <c r="B78" s="111"/>
      <c r="C78" s="101" t="s">
        <v>248</v>
      </c>
      <c r="D78" s="92"/>
      <c r="E78" s="102">
        <f>SUM(D52:D78)</f>
        <v>319539859.64999998</v>
      </c>
      <c r="F78" s="99"/>
      <c r="G78" s="101"/>
      <c r="H78" s="92"/>
      <c r="I78" s="92"/>
    </row>
    <row r="79" spans="2:9" ht="12.95" customHeight="1">
      <c r="B79" s="111"/>
      <c r="C79" s="101"/>
      <c r="D79" s="92"/>
      <c r="E79" s="92"/>
      <c r="F79" s="99"/>
      <c r="G79" s="101"/>
      <c r="H79" s="92"/>
      <c r="I79" s="92"/>
    </row>
    <row r="80" spans="2:9" ht="14.1" customHeight="1">
      <c r="B80" s="111">
        <v>11</v>
      </c>
      <c r="C80" s="100" t="s">
        <v>35</v>
      </c>
      <c r="D80" s="92">
        <v>34826660.170000002</v>
      </c>
      <c r="E80" s="102">
        <f>+D80</f>
        <v>34826660.170000002</v>
      </c>
      <c r="F80" s="99"/>
      <c r="G80" s="101"/>
      <c r="H80" s="92"/>
      <c r="I80" s="92"/>
    </row>
    <row r="81" spans="2:9" ht="12.95" customHeight="1">
      <c r="B81" s="111"/>
      <c r="C81" s="101"/>
      <c r="D81" s="92"/>
      <c r="E81" s="92"/>
      <c r="F81" s="99"/>
      <c r="G81" s="101"/>
      <c r="H81" s="92"/>
      <c r="I81" s="92"/>
    </row>
    <row r="82" spans="2:9" ht="14.1" customHeight="1">
      <c r="B82" s="111">
        <v>12</v>
      </c>
      <c r="C82" s="100" t="s">
        <v>323</v>
      </c>
      <c r="D82" s="92" t="s">
        <v>2</v>
      </c>
      <c r="E82" s="92"/>
      <c r="F82" s="99"/>
      <c r="G82" s="101"/>
      <c r="H82" s="92"/>
      <c r="I82" s="92"/>
    </row>
    <row r="83" spans="2:9" ht="14.1" customHeight="1">
      <c r="B83" s="111"/>
      <c r="C83" s="101" t="s">
        <v>324</v>
      </c>
      <c r="D83" s="102">
        <v>5000000</v>
      </c>
      <c r="E83" s="92"/>
      <c r="F83" s="99"/>
      <c r="G83" s="101"/>
      <c r="H83" s="92"/>
      <c r="I83" s="92"/>
    </row>
    <row r="84" spans="2:9" ht="14.1" customHeight="1">
      <c r="B84" s="111"/>
      <c r="C84" s="101" t="s">
        <v>37</v>
      </c>
      <c r="D84" s="102">
        <v>20404842.609999999</v>
      </c>
      <c r="E84" s="92"/>
      <c r="F84" s="99"/>
      <c r="G84" s="101"/>
      <c r="H84" s="92"/>
      <c r="I84" s="92"/>
    </row>
    <row r="85" spans="2:9" ht="14.1" customHeight="1">
      <c r="B85" s="111"/>
      <c r="C85" s="101" t="s">
        <v>325</v>
      </c>
      <c r="D85" s="102">
        <v>150000000</v>
      </c>
      <c r="E85" s="92"/>
      <c r="F85" s="99"/>
      <c r="G85" s="101"/>
      <c r="H85" s="92"/>
      <c r="I85" s="92"/>
    </row>
    <row r="86" spans="2:9" ht="14.1" customHeight="1">
      <c r="B86" s="111"/>
      <c r="C86" s="101" t="s">
        <v>66</v>
      </c>
      <c r="D86" s="102">
        <v>21550000</v>
      </c>
      <c r="E86" s="92"/>
      <c r="F86" s="99"/>
      <c r="G86" s="101"/>
      <c r="H86" s="92"/>
      <c r="I86" s="92"/>
    </row>
    <row r="87" spans="2:9" ht="14.1" customHeight="1">
      <c r="B87" s="111"/>
      <c r="C87" s="101" t="s">
        <v>38</v>
      </c>
      <c r="D87" s="102">
        <v>1000000</v>
      </c>
      <c r="E87" s="92"/>
      <c r="F87" s="99"/>
      <c r="G87" s="101"/>
      <c r="H87" s="92"/>
      <c r="I87" s="92"/>
    </row>
    <row r="88" spans="2:9" ht="14.1" customHeight="1">
      <c r="B88" s="111"/>
      <c r="C88" s="101" t="s">
        <v>326</v>
      </c>
      <c r="D88" s="102">
        <v>525250000</v>
      </c>
      <c r="E88" s="92"/>
      <c r="F88" s="99"/>
      <c r="G88" s="101"/>
      <c r="H88" s="92"/>
      <c r="I88" s="92"/>
    </row>
    <row r="89" spans="2:9" s="192" customFormat="1" ht="14.1" customHeight="1">
      <c r="B89" s="188"/>
      <c r="C89" s="189" t="s">
        <v>73</v>
      </c>
      <c r="D89" s="112">
        <v>20000000</v>
      </c>
      <c r="E89" s="190"/>
      <c r="F89" s="191"/>
      <c r="G89" s="189"/>
      <c r="H89" s="190"/>
      <c r="I89" s="190"/>
    </row>
    <row r="90" spans="2:9" s="192" customFormat="1" ht="14.1" customHeight="1">
      <c r="B90" s="188"/>
      <c r="C90" s="189" t="s">
        <v>485</v>
      </c>
      <c r="D90" s="112">
        <v>342100000</v>
      </c>
      <c r="E90" s="190"/>
      <c r="F90" s="191"/>
      <c r="G90" s="189"/>
      <c r="H90" s="190"/>
      <c r="I90" s="190"/>
    </row>
    <row r="91" spans="2:9" s="192" customFormat="1" ht="14.1" customHeight="1">
      <c r="B91" s="188"/>
      <c r="C91" s="189" t="s">
        <v>486</v>
      </c>
      <c r="D91" s="112">
        <v>40000000</v>
      </c>
      <c r="E91" s="190"/>
      <c r="F91" s="191"/>
      <c r="G91" s="189"/>
      <c r="H91" s="190"/>
      <c r="I91" s="190"/>
    </row>
    <row r="92" spans="2:9" s="192" customFormat="1" ht="14.1" customHeight="1">
      <c r="B92" s="188"/>
      <c r="C92" s="189" t="s">
        <v>487</v>
      </c>
      <c r="D92" s="112">
        <v>5000000</v>
      </c>
      <c r="E92" s="112">
        <f>SUM(D83:D92)</f>
        <v>1130304842.6100001</v>
      </c>
      <c r="F92" s="191"/>
      <c r="G92" s="189"/>
      <c r="H92" s="190"/>
      <c r="I92" s="190"/>
    </row>
    <row r="93" spans="2:9" ht="12.95" customHeight="1">
      <c r="B93" s="111"/>
      <c r="C93" s="101"/>
      <c r="D93" s="92"/>
      <c r="E93" s="92"/>
      <c r="F93" s="99"/>
      <c r="G93" s="101"/>
      <c r="H93" s="92"/>
      <c r="I93" s="92"/>
    </row>
    <row r="94" spans="2:9" ht="14.1" customHeight="1">
      <c r="B94" s="111">
        <v>13</v>
      </c>
      <c r="C94" s="100" t="s">
        <v>327</v>
      </c>
      <c r="D94" s="92"/>
      <c r="E94" s="102">
        <f>E95-SUM(E8:E93)</f>
        <v>342500000</v>
      </c>
      <c r="F94" s="99"/>
      <c r="G94" s="101"/>
      <c r="H94" s="92"/>
      <c r="I94" s="92"/>
    </row>
    <row r="95" spans="2:9" ht="12.95" customHeight="1">
      <c r="B95" s="97"/>
      <c r="C95" s="97" t="s">
        <v>3</v>
      </c>
      <c r="D95" s="103"/>
      <c r="E95" s="106">
        <f>+I95</f>
        <v>11759151007.950001</v>
      </c>
      <c r="F95" s="97"/>
      <c r="G95" s="97" t="s">
        <v>3</v>
      </c>
      <c r="H95" s="103"/>
      <c r="I95" s="106">
        <f>SUM(I8:I94)</f>
        <v>11759151007.950001</v>
      </c>
    </row>
    <row r="100" spans="5:7">
      <c r="E100" s="104">
        <f>+E95-E92-E94</f>
        <v>10286346165.34</v>
      </c>
      <c r="G100" s="96">
        <f>+E92</f>
        <v>1130304842.6100001</v>
      </c>
    </row>
    <row r="101" spans="5:7">
      <c r="G101" s="96">
        <f>+G100/E100*100</f>
        <v>10.988399811184456</v>
      </c>
    </row>
  </sheetData>
  <mergeCells count="5">
    <mergeCell ref="B2:I2"/>
    <mergeCell ref="B3:I3"/>
    <mergeCell ref="B4:I4"/>
    <mergeCell ref="B5:I5"/>
    <mergeCell ref="B6:I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O10"/>
  <sheetViews>
    <sheetView showGridLines="0" zoomScale="80" zoomScaleNormal="80" workbookViewId="0">
      <selection activeCell="B4" sqref="B4"/>
    </sheetView>
  </sheetViews>
  <sheetFormatPr defaultRowHeight="12.75"/>
  <cols>
    <col min="1" max="1" width="9" style="145"/>
    <col min="2" max="2" width="7" style="145" customWidth="1"/>
    <col min="3" max="3" width="22.625" style="145" customWidth="1"/>
    <col min="4" max="4" width="12" style="145" customWidth="1"/>
    <col min="5" max="5" width="10.625" style="145" customWidth="1"/>
    <col min="6" max="6" width="18.5" style="145" customWidth="1"/>
    <col min="7" max="7" width="12" style="145" customWidth="1"/>
    <col min="8" max="8" width="9.375" style="145" customWidth="1"/>
    <col min="9" max="9" width="14.25" style="145" customWidth="1"/>
    <col min="10" max="10" width="12" style="145" customWidth="1"/>
    <col min="11" max="11" width="10.625" style="145" customWidth="1"/>
    <col min="12" max="12" width="18.5" style="145" customWidth="1"/>
    <col min="13" max="13" width="12" style="145" customWidth="1"/>
    <col min="14" max="14" width="10.625" style="145" customWidth="1"/>
    <col min="15" max="15" width="18.5" style="145" customWidth="1"/>
    <col min="16" max="17" width="10.875" style="145" bestFit="1" customWidth="1"/>
    <col min="18" max="18" width="15.875" style="145" bestFit="1" customWidth="1"/>
    <col min="19" max="16384" width="9" style="145"/>
  </cols>
  <sheetData>
    <row r="2" spans="2:15" ht="20.25">
      <c r="B2" s="311" t="s">
        <v>462</v>
      </c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</row>
    <row r="3" spans="2:15" ht="18">
      <c r="B3" s="312" t="s">
        <v>505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</row>
    <row r="5" spans="2:15" ht="18">
      <c r="B5" s="146" t="s">
        <v>463</v>
      </c>
      <c r="C5" s="317" t="s">
        <v>464</v>
      </c>
      <c r="D5" s="313" t="s">
        <v>467</v>
      </c>
      <c r="E5" s="313"/>
      <c r="F5" s="313"/>
      <c r="G5" s="314" t="s">
        <v>465</v>
      </c>
      <c r="H5" s="315"/>
      <c r="I5" s="316"/>
      <c r="J5" s="313" t="s">
        <v>466</v>
      </c>
      <c r="K5" s="313"/>
      <c r="L5" s="313"/>
      <c r="M5" s="313" t="s">
        <v>504</v>
      </c>
      <c r="N5" s="313"/>
      <c r="O5" s="313"/>
    </row>
    <row r="6" spans="2:15" ht="18">
      <c r="B6" s="147"/>
      <c r="C6" s="318"/>
      <c r="D6" s="148" t="s">
        <v>468</v>
      </c>
      <c r="E6" s="148" t="s">
        <v>469</v>
      </c>
      <c r="F6" s="148" t="s">
        <v>279</v>
      </c>
      <c r="G6" s="148" t="s">
        <v>468</v>
      </c>
      <c r="H6" s="148" t="s">
        <v>469</v>
      </c>
      <c r="I6" s="148" t="s">
        <v>279</v>
      </c>
      <c r="J6" s="148" t="s">
        <v>468</v>
      </c>
      <c r="K6" s="148" t="s">
        <v>469</v>
      </c>
      <c r="L6" s="148" t="s">
        <v>279</v>
      </c>
      <c r="M6" s="148" t="s">
        <v>468</v>
      </c>
      <c r="N6" s="148" t="s">
        <v>469</v>
      </c>
      <c r="O6" s="148" t="s">
        <v>279</v>
      </c>
    </row>
    <row r="7" spans="2:15" ht="18.75">
      <c r="B7" s="149" t="s">
        <v>470</v>
      </c>
      <c r="C7" s="150" t="s">
        <v>471</v>
      </c>
      <c r="D7" s="152">
        <v>21</v>
      </c>
      <c r="E7" s="152">
        <v>3718</v>
      </c>
      <c r="F7" s="152">
        <v>3718300000</v>
      </c>
      <c r="G7" s="194">
        <v>0</v>
      </c>
      <c r="H7" s="195">
        <v>0</v>
      </c>
      <c r="I7" s="195">
        <v>100000000</v>
      </c>
      <c r="J7" s="195">
        <v>0</v>
      </c>
      <c r="K7" s="195">
        <f>+L7/1000000</f>
        <v>230</v>
      </c>
      <c r="L7" s="195">
        <v>230000000</v>
      </c>
      <c r="M7" s="195">
        <f t="shared" ref="M7:M8" si="0">+D7+J7-G7</f>
        <v>21</v>
      </c>
      <c r="N7" s="195">
        <v>3848</v>
      </c>
      <c r="O7" s="195">
        <f>+F7+L7-I7</f>
        <v>3848300000</v>
      </c>
    </row>
    <row r="8" spans="2:15" ht="18.75">
      <c r="B8" s="149" t="s">
        <v>472</v>
      </c>
      <c r="C8" s="150" t="s">
        <v>473</v>
      </c>
      <c r="D8" s="152">
        <v>0</v>
      </c>
      <c r="E8" s="152">
        <v>0</v>
      </c>
      <c r="F8" s="152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f t="shared" si="0"/>
        <v>0</v>
      </c>
      <c r="N8" s="195">
        <v>0</v>
      </c>
      <c r="O8" s="195">
        <v>0</v>
      </c>
    </row>
    <row r="9" spans="2:15" ht="18.75">
      <c r="B9" s="149" t="s">
        <v>474</v>
      </c>
      <c r="C9" s="150" t="s">
        <v>475</v>
      </c>
      <c r="D9" s="152">
        <v>138</v>
      </c>
      <c r="E9" s="152">
        <v>471</v>
      </c>
      <c r="F9" s="152">
        <v>471132500</v>
      </c>
      <c r="G9" s="195">
        <v>6</v>
      </c>
      <c r="H9" s="195">
        <f>+I9/1000000</f>
        <v>16.04</v>
      </c>
      <c r="I9" s="195">
        <v>16040000</v>
      </c>
      <c r="J9" s="195">
        <v>4</v>
      </c>
      <c r="K9" s="195">
        <v>148</v>
      </c>
      <c r="L9" s="195">
        <f>377759800-L7</f>
        <v>147759800</v>
      </c>
      <c r="M9" s="195">
        <f>+D9+J9-G9</f>
        <v>136</v>
      </c>
      <c r="N9" s="195">
        <f>+E9+K9-H9</f>
        <v>602.96</v>
      </c>
      <c r="O9" s="195">
        <f>+F9+L9-I9</f>
        <v>602852300</v>
      </c>
    </row>
    <row r="10" spans="2:15" ht="18.75">
      <c r="B10" s="150"/>
      <c r="C10" s="151" t="s">
        <v>3</v>
      </c>
      <c r="D10" s="153">
        <v>159</v>
      </c>
      <c r="E10" s="153">
        <v>4189</v>
      </c>
      <c r="F10" s="153">
        <v>4189432500</v>
      </c>
      <c r="G10" s="196">
        <v>6</v>
      </c>
      <c r="H10" s="196">
        <f t="shared" ref="H10:N10" si="1">SUM(H7:H9)</f>
        <v>16.04</v>
      </c>
      <c r="I10" s="196">
        <f t="shared" si="1"/>
        <v>116040000</v>
      </c>
      <c r="J10" s="196">
        <f t="shared" si="1"/>
        <v>4</v>
      </c>
      <c r="K10" s="196">
        <f t="shared" si="1"/>
        <v>378</v>
      </c>
      <c r="L10" s="196">
        <f t="shared" si="1"/>
        <v>377759800</v>
      </c>
      <c r="M10" s="196">
        <v>153</v>
      </c>
      <c r="N10" s="196">
        <f t="shared" si="1"/>
        <v>4450.96</v>
      </c>
      <c r="O10" s="196">
        <f>SUM(O7:O9)</f>
        <v>4451152300</v>
      </c>
    </row>
  </sheetData>
  <mergeCells count="7">
    <mergeCell ref="B2:O2"/>
    <mergeCell ref="B3:O3"/>
    <mergeCell ref="D5:F5"/>
    <mergeCell ref="G5:I5"/>
    <mergeCell ref="J5:L5"/>
    <mergeCell ref="M5:O5"/>
    <mergeCell ref="C5:C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38"/>
  <sheetViews>
    <sheetView workbookViewId="0">
      <selection activeCell="G26" sqref="G26"/>
    </sheetView>
  </sheetViews>
  <sheetFormatPr defaultRowHeight="12"/>
  <cols>
    <col min="1" max="1" width="9.875" bestFit="1" customWidth="1"/>
  </cols>
  <sheetData>
    <row r="1" spans="1:1" ht="12.75" thickBot="1"/>
    <row r="2" spans="1:1" ht="13.5" thickBot="1">
      <c r="A2" s="202">
        <v>170.94</v>
      </c>
    </row>
    <row r="3" spans="1:1" ht="13.5" thickBot="1">
      <c r="A3" s="203">
        <v>138.77000000000001</v>
      </c>
    </row>
    <row r="4" spans="1:1" ht="13.5" thickBot="1">
      <c r="A4" s="203">
        <v>43.29</v>
      </c>
    </row>
    <row r="5" spans="1:1" ht="13.5" thickBot="1">
      <c r="A5" s="203">
        <v>34.81</v>
      </c>
    </row>
    <row r="6" spans="1:1" ht="13.5" thickBot="1">
      <c r="A6" s="203">
        <v>69.650000000000006</v>
      </c>
    </row>
    <row r="7" spans="1:1" ht="13.5" thickBot="1">
      <c r="A7" s="203">
        <v>197.03</v>
      </c>
    </row>
    <row r="8" spans="1:1" ht="13.5" thickBot="1">
      <c r="A8" s="203">
        <v>30.24</v>
      </c>
    </row>
    <row r="9" spans="1:1" ht="13.5" thickBot="1">
      <c r="A9" s="203">
        <v>65.98</v>
      </c>
    </row>
    <row r="10" spans="1:1" ht="13.5" thickBot="1">
      <c r="A10" s="203">
        <v>38.6</v>
      </c>
    </row>
    <row r="11" spans="1:1" ht="13.5" thickBot="1">
      <c r="A11" s="203">
        <v>37.43</v>
      </c>
    </row>
    <row r="12" spans="1:1" ht="13.5" thickBot="1">
      <c r="A12" s="203">
        <v>48.78</v>
      </c>
    </row>
    <row r="13" spans="1:1" ht="13.5" thickBot="1">
      <c r="A13" s="203">
        <v>69.94</v>
      </c>
    </row>
    <row r="14" spans="1:1" ht="13.5" thickBot="1">
      <c r="A14" s="203">
        <v>46.42</v>
      </c>
    </row>
    <row r="15" spans="1:1" ht="13.5" thickBot="1">
      <c r="A15" s="203">
        <v>41.42</v>
      </c>
    </row>
    <row r="16" spans="1:1" ht="13.5" thickBot="1">
      <c r="A16" s="203">
        <v>45.53</v>
      </c>
    </row>
    <row r="17" spans="1:1" ht="13.5" thickBot="1">
      <c r="A17" s="203">
        <v>72.510000000000005</v>
      </c>
    </row>
    <row r="18" spans="1:1" ht="13.5" thickBot="1">
      <c r="A18" s="203">
        <v>240.84</v>
      </c>
    </row>
    <row r="19" spans="1:1" ht="13.5" thickBot="1">
      <c r="A19" s="203">
        <v>36.25</v>
      </c>
    </row>
    <row r="20" spans="1:1" ht="12.75" thickBot="1">
      <c r="A20" s="204">
        <v>127.44</v>
      </c>
    </row>
    <row r="21" spans="1:1" ht="13.5" thickBot="1">
      <c r="A21" s="203">
        <v>87.25</v>
      </c>
    </row>
    <row r="22" spans="1:1" ht="13.5" thickBot="1">
      <c r="A22" s="203">
        <v>80</v>
      </c>
    </row>
    <row r="23" spans="1:1" ht="13.5" thickBot="1">
      <c r="A23" s="203">
        <v>61.29</v>
      </c>
    </row>
    <row r="24" spans="1:1" ht="13.5" thickBot="1">
      <c r="A24" s="203">
        <v>50.78</v>
      </c>
    </row>
    <row r="25" spans="1:1" ht="13.5" thickBot="1">
      <c r="A25" s="203">
        <v>38.49</v>
      </c>
    </row>
    <row r="26" spans="1:1" ht="13.5" thickBot="1">
      <c r="A26" s="203">
        <v>73.81</v>
      </c>
    </row>
    <row r="27" spans="1:1" ht="13.5" thickBot="1">
      <c r="A27" s="203">
        <v>95</v>
      </c>
    </row>
    <row r="28" spans="1:1" ht="13.5" thickBot="1">
      <c r="A28" s="203">
        <v>58.48</v>
      </c>
    </row>
    <row r="29" spans="1:1" ht="13.5" thickBot="1">
      <c r="A29" s="203">
        <v>46.98</v>
      </c>
    </row>
    <row r="30" spans="1:1" ht="13.5" thickBot="1">
      <c r="A30" s="203">
        <v>50.07</v>
      </c>
    </row>
    <row r="31" spans="1:1" ht="13.5" thickBot="1">
      <c r="A31" s="203">
        <v>49.63</v>
      </c>
    </row>
    <row r="32" spans="1:1" ht="13.5" thickBot="1">
      <c r="A32" s="203">
        <v>58.59</v>
      </c>
    </row>
    <row r="33" spans="1:1" ht="13.5" thickBot="1">
      <c r="A33" s="203">
        <v>37.53</v>
      </c>
    </row>
    <row r="34" spans="1:1" ht="13.5" thickBot="1">
      <c r="A34" s="203">
        <v>34.93</v>
      </c>
    </row>
    <row r="35" spans="1:1" ht="13.5" thickBot="1">
      <c r="A35" s="203">
        <v>96.66</v>
      </c>
    </row>
    <row r="36" spans="1:1" ht="13.5" thickBot="1">
      <c r="A36" s="203">
        <v>48.76</v>
      </c>
    </row>
    <row r="37" spans="1:1" ht="13.5" thickBot="1">
      <c r="A37" s="203">
        <v>45</v>
      </c>
    </row>
    <row r="38" spans="1:1" ht="13.5" thickBot="1">
      <c r="A38" s="203">
        <v>35.07</v>
      </c>
    </row>
    <row r="39" spans="1:1" ht="13.5" thickBot="1">
      <c r="A39" s="203">
        <v>46.48</v>
      </c>
    </row>
    <row r="40" spans="1:1" ht="13.5" thickBot="1">
      <c r="A40" s="203">
        <v>41.09</v>
      </c>
    </row>
    <row r="41" spans="1:1" ht="13.5" thickBot="1">
      <c r="A41" s="203">
        <v>49.24</v>
      </c>
    </row>
    <row r="42" spans="1:1" ht="13.5" thickBot="1">
      <c r="A42" s="203">
        <v>54</v>
      </c>
    </row>
    <row r="43" spans="1:1" ht="13.5" thickBot="1">
      <c r="A43" s="203">
        <v>43.65</v>
      </c>
    </row>
    <row r="44" spans="1:1" ht="13.5" thickBot="1">
      <c r="A44" s="203">
        <v>82.72</v>
      </c>
    </row>
    <row r="45" spans="1:1" ht="13.5" thickBot="1">
      <c r="A45" s="203">
        <v>63.56</v>
      </c>
    </row>
    <row r="46" spans="1:1" ht="13.5" thickBot="1">
      <c r="A46" s="203">
        <v>47.21</v>
      </c>
    </row>
    <row r="47" spans="1:1" ht="13.5" thickBot="1">
      <c r="A47" s="203">
        <v>88.31</v>
      </c>
    </row>
    <row r="48" spans="1:1" ht="13.5" thickBot="1">
      <c r="A48" s="203">
        <v>97.28</v>
      </c>
    </row>
    <row r="49" spans="1:1" ht="13.5" thickBot="1">
      <c r="A49" s="203">
        <v>71.260000000000005</v>
      </c>
    </row>
    <row r="50" spans="1:1" ht="13.5" thickBot="1">
      <c r="A50" s="203">
        <v>74.87</v>
      </c>
    </row>
    <row r="51" spans="1:1" ht="13.5" thickBot="1">
      <c r="A51" s="203">
        <v>56</v>
      </c>
    </row>
    <row r="52" spans="1:1" ht="13.5" thickBot="1">
      <c r="A52" s="203">
        <v>99.82</v>
      </c>
    </row>
    <row r="53" spans="1:1" ht="13.5" thickBot="1">
      <c r="A53" s="203">
        <v>68.61</v>
      </c>
    </row>
    <row r="54" spans="1:1" ht="13.5" thickBot="1">
      <c r="A54" s="203">
        <v>93.5</v>
      </c>
    </row>
    <row r="55" spans="1:1" ht="13.5" thickBot="1">
      <c r="A55" s="203">
        <v>81.42</v>
      </c>
    </row>
    <row r="56" spans="1:1" ht="13.5" thickBot="1">
      <c r="A56" s="203">
        <v>90</v>
      </c>
    </row>
    <row r="57" spans="1:1" ht="13.5" thickBot="1">
      <c r="A57" s="203">
        <v>44.97</v>
      </c>
    </row>
    <row r="58" spans="1:1" ht="13.5" thickBot="1">
      <c r="A58" s="203">
        <v>93.64</v>
      </c>
    </row>
    <row r="59" spans="1:1" ht="13.5" thickBot="1">
      <c r="A59" s="203">
        <v>74.55</v>
      </c>
    </row>
    <row r="60" spans="1:1" ht="13.5" thickBot="1">
      <c r="A60" s="203">
        <v>95.85</v>
      </c>
    </row>
    <row r="61" spans="1:1" ht="13.5" thickBot="1">
      <c r="A61" s="203">
        <v>117.25</v>
      </c>
    </row>
    <row r="62" spans="1:1" ht="13.5" thickBot="1">
      <c r="A62" s="203">
        <v>63</v>
      </c>
    </row>
    <row r="63" spans="1:1" ht="13.5" thickBot="1">
      <c r="A63" s="203">
        <v>32.68</v>
      </c>
    </row>
    <row r="64" spans="1:1" ht="13.5" thickBot="1">
      <c r="A64" s="203">
        <v>54.55</v>
      </c>
    </row>
    <row r="65" spans="1:1" ht="13.5" thickBot="1">
      <c r="A65" s="203">
        <v>65.84</v>
      </c>
    </row>
    <row r="66" spans="1:1" ht="13.5" thickBot="1">
      <c r="A66" s="203">
        <v>49.73</v>
      </c>
    </row>
    <row r="67" spans="1:1" ht="13.5" thickBot="1">
      <c r="A67" s="203">
        <v>71.77</v>
      </c>
    </row>
    <row r="68" spans="1:1" ht="13.5" thickBot="1">
      <c r="A68" s="203">
        <v>40</v>
      </c>
    </row>
    <row r="69" spans="1:1" ht="13.5" thickBot="1">
      <c r="A69" s="203">
        <v>46.99</v>
      </c>
    </row>
    <row r="70" spans="1:1" ht="13.5" thickBot="1">
      <c r="A70" s="203">
        <v>40.799999999999997</v>
      </c>
    </row>
    <row r="71" spans="1:1" ht="13.5" thickBot="1">
      <c r="A71" s="203">
        <v>99.1</v>
      </c>
    </row>
    <row r="72" spans="1:1" ht="13.5" thickBot="1">
      <c r="A72" s="203">
        <v>50.19</v>
      </c>
    </row>
    <row r="73" spans="1:1" ht="13.5" thickBot="1">
      <c r="A73" s="203">
        <v>55.74</v>
      </c>
    </row>
    <row r="74" spans="1:1" ht="13.5" thickBot="1">
      <c r="A74" s="203">
        <v>146.99</v>
      </c>
    </row>
    <row r="75" spans="1:1" ht="13.5" thickBot="1">
      <c r="A75" s="203">
        <v>81.040000000000006</v>
      </c>
    </row>
    <row r="76" spans="1:1" ht="13.5" thickBot="1">
      <c r="A76" s="203">
        <v>45</v>
      </c>
    </row>
    <row r="77" spans="1:1" ht="13.5" thickBot="1">
      <c r="A77" s="203">
        <v>50.05</v>
      </c>
    </row>
    <row r="78" spans="1:1" ht="13.5" thickBot="1">
      <c r="A78" s="203">
        <v>55.12</v>
      </c>
    </row>
    <row r="79" spans="1:1" ht="13.5" thickBot="1">
      <c r="A79" s="203">
        <v>48.88</v>
      </c>
    </row>
    <row r="80" spans="1:1" ht="13.5" thickBot="1">
      <c r="A80" s="203">
        <v>66.55</v>
      </c>
    </row>
    <row r="81" spans="1:1" ht="13.5" thickBot="1">
      <c r="A81" s="203">
        <v>131.74</v>
      </c>
    </row>
    <row r="82" spans="1:1" ht="13.5" thickBot="1">
      <c r="A82" s="203">
        <v>55</v>
      </c>
    </row>
    <row r="83" spans="1:1" ht="13.5" thickBot="1">
      <c r="A83" s="203">
        <v>98.87</v>
      </c>
    </row>
    <row r="84" spans="1:1" ht="13.5" thickBot="1">
      <c r="A84" s="203">
        <v>69.05</v>
      </c>
    </row>
    <row r="85" spans="1:1" ht="13.5" thickBot="1">
      <c r="A85" s="203">
        <v>32.840000000000003</v>
      </c>
    </row>
    <row r="86" spans="1:1" ht="13.5" thickBot="1">
      <c r="A86" s="203">
        <v>42.34</v>
      </c>
    </row>
    <row r="87" spans="1:1" ht="13.5" thickBot="1">
      <c r="A87" s="203">
        <v>30.72</v>
      </c>
    </row>
    <row r="88" spans="1:1" ht="13.5" thickBot="1">
      <c r="A88" s="203">
        <v>31.71</v>
      </c>
    </row>
    <row r="89" spans="1:1" ht="13.5" thickBot="1">
      <c r="A89" s="203">
        <v>69.790000000000006</v>
      </c>
    </row>
    <row r="90" spans="1:1" ht="13.5" thickBot="1">
      <c r="A90" s="203">
        <v>64.25</v>
      </c>
    </row>
    <row r="91" spans="1:1" ht="13.5" thickBot="1">
      <c r="A91" s="203">
        <v>57.95</v>
      </c>
    </row>
    <row r="92" spans="1:1" ht="13.5" thickBot="1">
      <c r="A92" s="203">
        <v>39.24</v>
      </c>
    </row>
    <row r="93" spans="1:1" ht="13.5" thickBot="1">
      <c r="A93" s="203">
        <v>33.520000000000003</v>
      </c>
    </row>
    <row r="94" spans="1:1" ht="13.5" thickBot="1">
      <c r="A94" s="203">
        <v>35.93</v>
      </c>
    </row>
    <row r="95" spans="1:1" ht="13.5" thickBot="1">
      <c r="A95" s="203">
        <v>73.23</v>
      </c>
    </row>
    <row r="96" spans="1:1" ht="13.5" thickBot="1">
      <c r="A96" s="203">
        <v>75</v>
      </c>
    </row>
    <row r="97" spans="1:1" ht="13.5" thickBot="1">
      <c r="A97" s="203">
        <v>39.94</v>
      </c>
    </row>
    <row r="98" spans="1:1" ht="13.5" thickBot="1">
      <c r="A98" s="203">
        <v>53.07</v>
      </c>
    </row>
    <row r="99" spans="1:1" ht="13.5" thickBot="1">
      <c r="A99" s="203">
        <v>37.89</v>
      </c>
    </row>
    <row r="100" spans="1:1" ht="13.5" thickBot="1">
      <c r="A100" s="203">
        <v>58.79</v>
      </c>
    </row>
    <row r="101" spans="1:1" ht="13.5" thickBot="1">
      <c r="A101" s="203">
        <v>70.319999999999993</v>
      </c>
    </row>
    <row r="102" spans="1:1" ht="13.5" thickBot="1">
      <c r="A102" s="203">
        <v>39.04</v>
      </c>
    </row>
    <row r="103" spans="1:1" ht="13.5" thickBot="1">
      <c r="A103" s="203">
        <v>158.74</v>
      </c>
    </row>
    <row r="104" spans="1:1" ht="13.5" thickBot="1">
      <c r="A104" s="203">
        <v>37.11</v>
      </c>
    </row>
    <row r="105" spans="1:1" ht="13.5" thickBot="1">
      <c r="A105" s="203">
        <v>126.34</v>
      </c>
    </row>
    <row r="106" spans="1:1" ht="13.5" thickBot="1">
      <c r="A106" s="203">
        <v>115.67</v>
      </c>
    </row>
    <row r="107" spans="1:1" ht="13.5" thickBot="1">
      <c r="A107" s="203">
        <v>148.13999999999999</v>
      </c>
    </row>
    <row r="108" spans="1:1" ht="13.5" thickBot="1">
      <c r="A108" s="203">
        <v>96.55</v>
      </c>
    </row>
    <row r="109" spans="1:1" ht="13.5" thickBot="1">
      <c r="A109" s="203">
        <v>40</v>
      </c>
    </row>
    <row r="110" spans="1:1" ht="13.5" thickBot="1">
      <c r="A110" s="203">
        <v>36.72</v>
      </c>
    </row>
    <row r="111" spans="1:1" ht="13.5" thickBot="1">
      <c r="A111" s="203">
        <v>36.58</v>
      </c>
    </row>
    <row r="112" spans="1:1" ht="13.5" thickBot="1">
      <c r="A112" s="203">
        <v>110.02</v>
      </c>
    </row>
    <row r="113" spans="1:1" ht="13.5" thickBot="1">
      <c r="A113" s="203">
        <v>63</v>
      </c>
    </row>
    <row r="114" spans="1:1" ht="13.5" thickBot="1">
      <c r="A114" s="203">
        <v>199.83</v>
      </c>
    </row>
    <row r="115" spans="1:1" ht="13.5" thickBot="1">
      <c r="A115" s="203">
        <v>84.7</v>
      </c>
    </row>
    <row r="116" spans="1:1" ht="13.5" thickBot="1">
      <c r="A116" s="203">
        <v>40.21</v>
      </c>
    </row>
    <row r="117" spans="1:1" ht="13.5" thickBot="1">
      <c r="A117" s="203">
        <v>50</v>
      </c>
    </row>
    <row r="118" spans="1:1" ht="13.5" thickBot="1">
      <c r="A118" s="203">
        <v>36.83</v>
      </c>
    </row>
    <row r="119" spans="1:1" ht="13.5" thickBot="1">
      <c r="A119" s="203">
        <v>36.61</v>
      </c>
    </row>
    <row r="120" spans="1:1" ht="13.5" thickBot="1">
      <c r="A120" s="203">
        <v>34.54</v>
      </c>
    </row>
    <row r="121" spans="1:1" ht="13.5" thickBot="1">
      <c r="A121" s="203">
        <v>61.45</v>
      </c>
    </row>
    <row r="122" spans="1:1" ht="13.5" thickBot="1">
      <c r="A122" s="203">
        <v>36.78</v>
      </c>
    </row>
    <row r="123" spans="1:1" ht="13.5" thickBot="1">
      <c r="A123" s="203">
        <v>46.22</v>
      </c>
    </row>
    <row r="124" spans="1:1" ht="13.5" thickBot="1">
      <c r="A124" s="203">
        <v>32.630000000000003</v>
      </c>
    </row>
    <row r="125" spans="1:1" ht="13.5" thickBot="1">
      <c r="A125" s="203">
        <v>162.07</v>
      </c>
    </row>
    <row r="126" spans="1:1" ht="13.5" thickBot="1">
      <c r="A126" s="203">
        <v>43.79</v>
      </c>
    </row>
    <row r="127" spans="1:1" ht="13.5" thickBot="1">
      <c r="A127" s="203">
        <v>36</v>
      </c>
    </row>
    <row r="128" spans="1:1">
      <c r="A128">
        <f>SUM(A2:A127)</f>
        <v>8554.2500000000018</v>
      </c>
    </row>
    <row r="129" spans="1:2">
      <c r="A129">
        <f>+A128*0.6%</f>
        <v>51.325500000000012</v>
      </c>
    </row>
    <row r="133" spans="1:2">
      <c r="A133">
        <v>441.63</v>
      </c>
      <c r="B133" t="s">
        <v>518</v>
      </c>
    </row>
    <row r="134" spans="1:2">
      <c r="A134">
        <v>2000</v>
      </c>
    </row>
    <row r="135" spans="1:2">
      <c r="A135">
        <v>1977.47</v>
      </c>
    </row>
    <row r="136" spans="1:2">
      <c r="A136">
        <v>3629.3</v>
      </c>
    </row>
    <row r="137" spans="1:2">
      <c r="A137">
        <f>SUM(A133:A136)</f>
        <v>8048.4000000000005</v>
      </c>
    </row>
    <row r="138" spans="1:2">
      <c r="A138">
        <f>A137*0.6%</f>
        <v>48.290400000000005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BS</vt:lpstr>
      <vt:lpstr>Sch-BS</vt:lpstr>
      <vt:lpstr>Draft-BS</vt:lpstr>
      <vt:lpstr>P &amp; L</vt:lpstr>
      <vt:lpstr>Sch-PL</vt:lpstr>
      <vt:lpstr>Draft-P&amp;L</vt:lpstr>
      <vt:lpstr>SC-Reco</vt:lpstr>
      <vt:lpstr>Sheet1</vt:lpstr>
      <vt:lpstr>BS!Print_Area</vt:lpstr>
      <vt:lpstr>'P &amp; L'!Print_Area</vt:lpstr>
      <vt:lpstr>'Sch-BS'!Print_Area</vt:lpstr>
      <vt:lpstr>'Sch-PL'!Print_Area</vt:lpstr>
      <vt:lpstr>'Sch-BS'!Print_Titles</vt:lpstr>
      <vt:lpstr>'Sch-PL'!Print_Titles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apex</cp:lastModifiedBy>
  <cp:lastPrinted>2018-07-17T07:40:36Z</cp:lastPrinted>
  <dcterms:created xsi:type="dcterms:W3CDTF">2016-08-09T07:03:13Z</dcterms:created>
  <dcterms:modified xsi:type="dcterms:W3CDTF">2018-09-14T06:53:24Z</dcterms:modified>
</cp:coreProperties>
</file>