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enovo\Desktop\Website update 27.11.19\"/>
    </mc:Choice>
  </mc:AlternateContent>
  <bookViews>
    <workbookView xWindow="-120" yWindow="-120" windowWidth="20730" windowHeight="11160" activeTab="4"/>
  </bookViews>
  <sheets>
    <sheet name="BS" sheetId="1" r:id="rId1"/>
    <sheet name="Sch-BS" sheetId="3" r:id="rId2"/>
    <sheet name="Draft-BS" sheetId="9" state="hidden" r:id="rId3"/>
    <sheet name="P &amp; L" sheetId="2" r:id="rId4"/>
    <sheet name="Sch-PL" sheetId="4" r:id="rId5"/>
    <sheet name="Sheet2" sheetId="12" state="hidden" r:id="rId6"/>
    <sheet name="Draft-P&amp;L" sheetId="6" state="hidden" r:id="rId7"/>
    <sheet name="SC-Reco" sheetId="10" state="hidden" r:id="rId8"/>
    <sheet name="Sheet1" sheetId="11" state="hidden" r:id="rId9"/>
  </sheets>
  <definedNames>
    <definedName name="_Order1" hidden="1">0</definedName>
    <definedName name="_Order2" hidden="1">0</definedName>
    <definedName name="_xlnm.Print_Area" localSheetId="0">BS!$B$1:$E$61</definedName>
    <definedName name="_xlnm.Print_Area" localSheetId="3">'P &amp; L'!$B$1:$E$75</definedName>
    <definedName name="_xlnm.Print_Area" localSheetId="1">'Sch-BS'!$B$1:$F$251</definedName>
    <definedName name="_xlnm.Print_Area" localSheetId="4">'Sch-PL'!$B$1:$F$104</definedName>
    <definedName name="_xlnm.Print_Titles" localSheetId="1">'Sch-BS'!$6:$6</definedName>
    <definedName name="_xlnm.Print_Titles" localSheetId="4">'Sch-PL'!$6:$6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45" i="12" l="1"/>
  <c r="A46" i="12" s="1"/>
  <c r="A48" i="12" s="1"/>
  <c r="E40" i="2" l="1"/>
  <c r="D88" i="4" l="1"/>
  <c r="F20" i="4" l="1"/>
  <c r="D31" i="2"/>
  <c r="D9" i="4"/>
  <c r="E10" i="2" l="1"/>
  <c r="E14" i="2" s="1"/>
  <c r="D43" i="6"/>
  <c r="D69" i="6"/>
  <c r="F25" i="3" l="1"/>
  <c r="D46" i="3"/>
  <c r="D56" i="6" l="1"/>
  <c r="D63" i="4"/>
  <c r="D47" i="2"/>
  <c r="C109" i="9"/>
  <c r="C103" i="9"/>
  <c r="D89" i="9"/>
  <c r="D78" i="9"/>
  <c r="H105" i="9"/>
  <c r="J108" i="9" s="1"/>
  <c r="D60" i="6"/>
  <c r="D92" i="4" s="1"/>
  <c r="C225" i="3" l="1"/>
  <c r="C222" i="3"/>
  <c r="C224" i="3"/>
  <c r="D67" i="4" l="1"/>
  <c r="D46" i="6"/>
  <c r="C203" i="3" l="1"/>
  <c r="C216" i="3" l="1"/>
  <c r="C212" i="3"/>
  <c r="C205" i="3" l="1"/>
  <c r="C220" i="3" l="1"/>
  <c r="C202" i="3" l="1"/>
  <c r="C215" i="3" l="1"/>
  <c r="C227" i="3" l="1"/>
  <c r="C211" i="3"/>
  <c r="C221" i="3" l="1"/>
  <c r="C223" i="3" s="1"/>
  <c r="D227" i="3" s="1"/>
  <c r="O10" i="10"/>
  <c r="L11" i="10"/>
  <c r="K11" i="10"/>
  <c r="J11" i="10"/>
  <c r="I11" i="10"/>
  <c r="H11" i="10"/>
  <c r="G11" i="10"/>
  <c r="F11" i="10"/>
  <c r="E11" i="10"/>
  <c r="D11" i="10"/>
  <c r="D249" i="3" l="1"/>
  <c r="C122" i="3"/>
  <c r="D102" i="3"/>
  <c r="D101" i="3"/>
  <c r="C84" i="3"/>
  <c r="C60" i="3"/>
  <c r="I60" i="9"/>
  <c r="J16" i="9"/>
  <c r="E118" i="9"/>
  <c r="C126" i="9" s="1"/>
  <c r="D102" i="4" l="1"/>
  <c r="D59" i="6"/>
  <c r="D40" i="6"/>
  <c r="D63" i="6"/>
  <c r="D94" i="4" s="1"/>
  <c r="D50" i="6"/>
  <c r="D49" i="6"/>
  <c r="D82" i="4" s="1"/>
  <c r="D42" i="6"/>
  <c r="D78" i="4" s="1"/>
  <c r="D41" i="6"/>
  <c r="D36" i="6"/>
  <c r="D25" i="6"/>
  <c r="D53" i="4" s="1"/>
  <c r="D29" i="6"/>
  <c r="D28" i="6"/>
  <c r="D13" i="6"/>
  <c r="I35" i="6"/>
  <c r="D29" i="4" s="1"/>
  <c r="H23" i="6"/>
  <c r="I31" i="6" s="1"/>
  <c r="D28" i="4" s="1"/>
  <c r="H19" i="6"/>
  <c r="F197" i="3"/>
  <c r="E43" i="6" l="1"/>
  <c r="D35" i="2"/>
  <c r="D34" i="2"/>
  <c r="C167" i="3"/>
  <c r="D245" i="3"/>
  <c r="C236" i="3"/>
  <c r="C230" i="3"/>
  <c r="C217" i="3"/>
  <c r="C208" i="3"/>
  <c r="D246" i="3"/>
  <c r="D68" i="4"/>
  <c r="A137" i="11"/>
  <c r="A138" i="11" s="1"/>
  <c r="A128" i="11"/>
  <c r="A129" i="11" s="1"/>
  <c r="C233" i="3" l="1"/>
  <c r="D236" i="3" s="1"/>
  <c r="C214" i="3"/>
  <c r="D217" i="3" s="1"/>
  <c r="D105" i="3"/>
  <c r="D248" i="3"/>
  <c r="C119" i="3"/>
  <c r="E34" i="1"/>
  <c r="E21" i="1"/>
  <c r="D51" i="3" l="1"/>
  <c r="O9" i="10"/>
  <c r="D24" i="3" s="1"/>
  <c r="M9" i="10"/>
  <c r="N9" i="10"/>
  <c r="N11" i="10" s="1"/>
  <c r="M8" i="10"/>
  <c r="O7" i="10"/>
  <c r="O11" i="10" s="1"/>
  <c r="M7" i="10"/>
  <c r="M11" i="10" s="1"/>
  <c r="D106" i="3" l="1"/>
  <c r="E121" i="9"/>
  <c r="D13" i="1" s="1"/>
  <c r="E99" i="9"/>
  <c r="E97" i="9"/>
  <c r="E95" i="9"/>
  <c r="D92" i="9"/>
  <c r="D94" i="3" s="1"/>
  <c r="D71" i="9"/>
  <c r="D66" i="9"/>
  <c r="D62" i="9"/>
  <c r="D56" i="9"/>
  <c r="D52" i="9"/>
  <c r="D45" i="9"/>
  <c r="D25" i="9"/>
  <c r="D24" i="9"/>
  <c r="D21" i="9"/>
  <c r="E18" i="9"/>
  <c r="D25" i="3" s="1"/>
  <c r="J97" i="9"/>
  <c r="J91" i="9"/>
  <c r="L92" i="9" s="1"/>
  <c r="J89" i="9"/>
  <c r="J87" i="9"/>
  <c r="I84" i="9"/>
  <c r="I79" i="9"/>
  <c r="I71" i="9"/>
  <c r="I55" i="9"/>
  <c r="I47" i="9"/>
  <c r="I32" i="9"/>
  <c r="I29" i="9"/>
  <c r="I26" i="9"/>
  <c r="I23" i="9"/>
  <c r="J19" i="9"/>
  <c r="D32" i="2"/>
  <c r="D38" i="2"/>
  <c r="D18" i="1" l="1"/>
  <c r="J33" i="9"/>
  <c r="E92" i="9"/>
  <c r="J84" i="9"/>
  <c r="E78" i="9"/>
  <c r="D247" i="3"/>
  <c r="E45" i="9"/>
  <c r="E42" i="2"/>
  <c r="E49" i="2" s="1"/>
  <c r="J122" i="9" l="1"/>
  <c r="E122" i="9"/>
  <c r="D30" i="2"/>
  <c r="D83" i="4"/>
  <c r="E93" i="6"/>
  <c r="E50" i="6"/>
  <c r="E30" i="6"/>
  <c r="I16" i="6"/>
  <c r="D41" i="4"/>
  <c r="I22" i="6"/>
  <c r="I19" i="6"/>
  <c r="I11" i="6"/>
  <c r="E81" i="6"/>
  <c r="E46" i="6"/>
  <c r="E37" i="6"/>
  <c r="E33" i="6"/>
  <c r="E22" i="6"/>
  <c r="E15" i="6"/>
  <c r="E10" i="6"/>
  <c r="F141" i="3"/>
  <c r="F125" i="3"/>
  <c r="F90" i="3"/>
  <c r="G124" i="9" l="1"/>
  <c r="G101" i="6"/>
  <c r="E79" i="6"/>
  <c r="F238" i="3"/>
  <c r="C201" i="3"/>
  <c r="C204" i="3" s="1"/>
  <c r="D208" i="3" s="1"/>
  <c r="D238" i="3" s="1"/>
  <c r="D29" i="1" s="1"/>
  <c r="I96" i="6"/>
  <c r="E96" i="6" s="1"/>
  <c r="F77" i="3"/>
  <c r="D16" i="1"/>
  <c r="D26" i="1"/>
  <c r="D20" i="3" l="1"/>
  <c r="D19" i="3"/>
  <c r="D16" i="3" l="1"/>
  <c r="C63" i="3"/>
  <c r="C62" i="3"/>
  <c r="C61" i="3"/>
  <c r="D63" i="3" l="1"/>
  <c r="D11" i="1"/>
  <c r="D32" i="1"/>
  <c r="D31" i="1"/>
  <c r="D250" i="3"/>
  <c r="D243" i="3"/>
  <c r="D242" i="3"/>
  <c r="D241" i="3"/>
  <c r="C195" i="3"/>
  <c r="C194" i="3"/>
  <c r="C193" i="3"/>
  <c r="C192" i="3"/>
  <c r="C189" i="3"/>
  <c r="C188" i="3"/>
  <c r="C187" i="3"/>
  <c r="C186" i="3"/>
  <c r="C185" i="3"/>
  <c r="C184" i="3"/>
  <c r="C183" i="3"/>
  <c r="C180" i="3"/>
  <c r="C179" i="3"/>
  <c r="C178" i="3"/>
  <c r="C177" i="3"/>
  <c r="C176" i="3"/>
  <c r="C175" i="3"/>
  <c r="C174" i="3"/>
  <c r="C173" i="3"/>
  <c r="C172" i="3"/>
  <c r="C171" i="3"/>
  <c r="C168" i="3"/>
  <c r="C166" i="3"/>
  <c r="C165" i="3"/>
  <c r="C161" i="3"/>
  <c r="C160" i="3"/>
  <c r="C159" i="3"/>
  <c r="C158" i="3"/>
  <c r="C157" i="3"/>
  <c r="C156" i="3"/>
  <c r="C153" i="3"/>
  <c r="C152" i="3"/>
  <c r="C151" i="3"/>
  <c r="C150" i="3"/>
  <c r="C149" i="3"/>
  <c r="C148" i="3"/>
  <c r="C147" i="3"/>
  <c r="C146" i="3"/>
  <c r="C145" i="3"/>
  <c r="C139" i="3"/>
  <c r="C138" i="3"/>
  <c r="D138" i="3" s="1"/>
  <c r="C137" i="3"/>
  <c r="C136" i="3"/>
  <c r="C135" i="3"/>
  <c r="D135" i="3" s="1"/>
  <c r="C134" i="3"/>
  <c r="C133" i="3"/>
  <c r="C132" i="3"/>
  <c r="D132" i="3" s="1"/>
  <c r="C131" i="3"/>
  <c r="C130" i="3"/>
  <c r="C129" i="3"/>
  <c r="D129" i="3" s="1"/>
  <c r="C123" i="3"/>
  <c r="C121" i="3"/>
  <c r="C120" i="3"/>
  <c r="C118" i="3"/>
  <c r="C117" i="3"/>
  <c r="C116" i="3"/>
  <c r="D113" i="3"/>
  <c r="D109" i="3"/>
  <c r="D108" i="3"/>
  <c r="D107" i="3"/>
  <c r="D104" i="3"/>
  <c r="D103" i="3"/>
  <c r="D100" i="3"/>
  <c r="D99" i="3"/>
  <c r="D98" i="3"/>
  <c r="D97" i="3"/>
  <c r="D96" i="3"/>
  <c r="D95" i="3"/>
  <c r="C88" i="3"/>
  <c r="C87" i="3"/>
  <c r="C86" i="3"/>
  <c r="C85" i="3"/>
  <c r="C83" i="3"/>
  <c r="C82" i="3"/>
  <c r="C81" i="3"/>
  <c r="C75" i="3"/>
  <c r="C74" i="3"/>
  <c r="C73" i="3"/>
  <c r="C72" i="3"/>
  <c r="C71" i="3"/>
  <c r="C68" i="3"/>
  <c r="C67" i="3"/>
  <c r="C66" i="3"/>
  <c r="D38" i="3"/>
  <c r="D55" i="3"/>
  <c r="D54" i="3"/>
  <c r="D53" i="3"/>
  <c r="D52" i="3"/>
  <c r="D50" i="3"/>
  <c r="D49" i="3"/>
  <c r="D48" i="3"/>
  <c r="D47" i="3"/>
  <c r="D45" i="3"/>
  <c r="D44" i="3"/>
  <c r="D43" i="3"/>
  <c r="D42" i="3"/>
  <c r="D41" i="3"/>
  <c r="D40" i="3"/>
  <c r="D39" i="3"/>
  <c r="D37" i="3"/>
  <c r="D36" i="3"/>
  <c r="C33" i="3"/>
  <c r="C32" i="3"/>
  <c r="D29" i="3"/>
  <c r="D45" i="2"/>
  <c r="D37" i="2"/>
  <c r="D36" i="2"/>
  <c r="D33" i="2"/>
  <c r="D27" i="2"/>
  <c r="D21" i="2"/>
  <c r="D103" i="4"/>
  <c r="D101" i="4"/>
  <c r="D100" i="4"/>
  <c r="D99" i="4"/>
  <c r="D98" i="4"/>
  <c r="D97" i="4"/>
  <c r="D96" i="4"/>
  <c r="D95" i="4"/>
  <c r="D93" i="4"/>
  <c r="D91" i="4"/>
  <c r="D90" i="4"/>
  <c r="D89" i="4"/>
  <c r="D87" i="4"/>
  <c r="D77" i="4"/>
  <c r="D76" i="4"/>
  <c r="D69" i="4"/>
  <c r="D23" i="2" s="1"/>
  <c r="D62" i="4"/>
  <c r="D64" i="4" s="1"/>
  <c r="D58" i="4"/>
  <c r="D57" i="4"/>
  <c r="D56" i="4"/>
  <c r="D55" i="4"/>
  <c r="D54" i="4"/>
  <c r="D49" i="4"/>
  <c r="D48" i="4"/>
  <c r="D47" i="4"/>
  <c r="D46" i="4"/>
  <c r="D42" i="4"/>
  <c r="D40" i="4"/>
  <c r="D39" i="4"/>
  <c r="D38" i="4"/>
  <c r="D34" i="4"/>
  <c r="D33" i="4"/>
  <c r="D27" i="4"/>
  <c r="D23" i="4"/>
  <c r="D24" i="4" s="1"/>
  <c r="D11" i="2" s="1"/>
  <c r="C15" i="4"/>
  <c r="C14" i="4"/>
  <c r="C12" i="4"/>
  <c r="C11" i="4"/>
  <c r="D104" i="4" l="1"/>
  <c r="D75" i="3"/>
  <c r="D153" i="3"/>
  <c r="D251" i="3"/>
  <c r="D30" i="1" s="1"/>
  <c r="D110" i="3"/>
  <c r="D17" i="1" s="1"/>
  <c r="D59" i="4"/>
  <c r="D20" i="2" s="1"/>
  <c r="D123" i="3"/>
  <c r="D125" i="3" s="1"/>
  <c r="D25" i="1" s="1"/>
  <c r="D18" i="4"/>
  <c r="D12" i="4"/>
  <c r="D68" i="3"/>
  <c r="D77" i="3" s="1"/>
  <c r="D162" i="3"/>
  <c r="D180" i="3"/>
  <c r="D168" i="3"/>
  <c r="D189" i="3"/>
  <c r="D195" i="3"/>
  <c r="D88" i="3"/>
  <c r="D90" i="3" s="1"/>
  <c r="D15" i="1" s="1"/>
  <c r="D84" i="4"/>
  <c r="D25" i="2" s="1"/>
  <c r="D30" i="4"/>
  <c r="D22" i="2"/>
  <c r="D50" i="4"/>
  <c r="D19" i="2" s="1"/>
  <c r="D79" i="4"/>
  <c r="D24" i="2" s="1"/>
  <c r="D43" i="4"/>
  <c r="D18" i="2" s="1"/>
  <c r="D35" i="4"/>
  <c r="D17" i="2" s="1"/>
  <c r="D141" i="3"/>
  <c r="D27" i="1" s="1"/>
  <c r="D33" i="3"/>
  <c r="D56" i="3" s="1"/>
  <c r="D10" i="3"/>
  <c r="D197" i="3" l="1"/>
  <c r="D28" i="1" s="1"/>
  <c r="D34" i="1" s="1"/>
  <c r="D20" i="4"/>
  <c r="D10" i="2" s="1"/>
  <c r="D12" i="1"/>
  <c r="D12" i="2"/>
  <c r="D26" i="2"/>
  <c r="D40" i="2" s="1"/>
  <c r="D14" i="1"/>
  <c r="D21" i="1" l="1"/>
  <c r="D14" i="2"/>
  <c r="D42" i="2" s="1"/>
  <c r="E124" i="9"/>
  <c r="C14" i="1"/>
  <c r="C15" i="1" s="1"/>
  <c r="C27" i="1"/>
  <c r="C28" i="1" s="1"/>
  <c r="C29" i="1" s="1"/>
  <c r="C30" i="1" s="1"/>
  <c r="C10" i="2" s="1"/>
  <c r="D49" i="2" l="1"/>
  <c r="C17" i="2"/>
  <c r="C18" i="2" s="1"/>
  <c r="C19" i="2" s="1"/>
  <c r="C20" i="2" s="1"/>
  <c r="C23" i="2" s="1"/>
  <c r="C24" i="2" s="1"/>
  <c r="C25" i="2" s="1"/>
  <c r="C26" i="2" s="1"/>
  <c r="E95" i="6"/>
  <c r="E103" i="6" s="1"/>
  <c r="E101" i="6" l="1"/>
  <c r="G102" i="6" s="1"/>
</calcChain>
</file>

<file path=xl/sharedStrings.xml><?xml version="1.0" encoding="utf-8"?>
<sst xmlns="http://schemas.openxmlformats.org/spreadsheetml/2006/main" count="778" uniqueCount="543">
  <si>
    <t>Particulars</t>
  </si>
  <si>
    <t>Note  No.</t>
  </si>
  <si>
    <t xml:space="preserve"> </t>
  </si>
  <si>
    <t>Total</t>
  </si>
  <si>
    <t>Notes on Accounts</t>
  </si>
  <si>
    <t>Accounting Policies</t>
  </si>
  <si>
    <t>Chartered Accountants</t>
  </si>
  <si>
    <t>INCOME</t>
  </si>
  <si>
    <t xml:space="preserve">Total Revenue </t>
  </si>
  <si>
    <t>EXPENSES</t>
  </si>
  <si>
    <t>Total Expenses</t>
  </si>
  <si>
    <t>Profit Before Tax</t>
  </si>
  <si>
    <t>Other Liabilities</t>
  </si>
  <si>
    <t>Bank Charges</t>
  </si>
  <si>
    <t>Share Capital</t>
  </si>
  <si>
    <t>Borrowings</t>
  </si>
  <si>
    <t>Deposits and Other Accounts</t>
  </si>
  <si>
    <t>Reserve Fund, Other Funds and Reserves</t>
  </si>
  <si>
    <t>Profit and Loss Account</t>
  </si>
  <si>
    <t>Interest Payable</t>
  </si>
  <si>
    <t>Cash and Bank Balances</t>
  </si>
  <si>
    <t>Money at Call and Short Notice</t>
  </si>
  <si>
    <t>Investments</t>
  </si>
  <si>
    <t>Advances</t>
  </si>
  <si>
    <t>Fixed Assets</t>
  </si>
  <si>
    <t>Other Assets</t>
  </si>
  <si>
    <t>Commission and Brokerage</t>
  </si>
  <si>
    <t>Interest on Deposits &amp; Borrowings</t>
  </si>
  <si>
    <t>Salaries, Allowances &amp; Provident Fund</t>
  </si>
  <si>
    <t>Rent, Taxes, Insurance &amp; Electricity Charges</t>
  </si>
  <si>
    <t>Legal Charges</t>
  </si>
  <si>
    <t>Postage and Telephone</t>
  </si>
  <si>
    <t>Repairs to Bank Properties</t>
  </si>
  <si>
    <t>Printing, Stationery and Advertisement</t>
  </si>
  <si>
    <t>Other Expenditure</t>
  </si>
  <si>
    <t>Depreciation</t>
  </si>
  <si>
    <t>Provisions and Contingencies :</t>
  </si>
  <si>
    <t xml:space="preserve">   Staff Gratuity Fund</t>
  </si>
  <si>
    <t xml:space="preserve">   Study Tour</t>
  </si>
  <si>
    <t>b) Staff Gratuity Fund</t>
  </si>
  <si>
    <t>d) Study Tour</t>
  </si>
  <si>
    <t>e) Bad &amp; Doubtful Debt Reserve</t>
  </si>
  <si>
    <t>Provision for Taxes:</t>
  </si>
  <si>
    <t>Provision for Income Tax</t>
  </si>
  <si>
    <t>Provision for Deferred Tax</t>
  </si>
  <si>
    <t>Income Tax of earlier years</t>
  </si>
  <si>
    <t>Net Profit for the year</t>
  </si>
  <si>
    <t>Interest and Discount</t>
  </si>
  <si>
    <t>1,50,00,000 shares of 100/- each</t>
  </si>
  <si>
    <t>Paid-up Share Capital</t>
  </si>
  <si>
    <t>Issued And Subscribed</t>
  </si>
  <si>
    <t>Authorised Share Capital</t>
  </si>
  <si>
    <t xml:space="preserve">   Statutory Reserves</t>
  </si>
  <si>
    <t xml:space="preserve">   Building Fund</t>
  </si>
  <si>
    <t xml:space="preserve">   Dividend Equalisation Fund</t>
  </si>
  <si>
    <t xml:space="preserve">   Bad and Doubtful Debt Reserve</t>
  </si>
  <si>
    <t xml:space="preserve">   Investment Depreciation Reserve</t>
  </si>
  <si>
    <t xml:space="preserve">   Agr. Cr. Guarantee Relief Fund</t>
  </si>
  <si>
    <t xml:space="preserve">   Common Good Fund</t>
  </si>
  <si>
    <t xml:space="preserve">   Special Assistance Fund</t>
  </si>
  <si>
    <t xml:space="preserve">   Farmers Welfare Fund</t>
  </si>
  <si>
    <t xml:space="preserve">   Cadre Fund</t>
  </si>
  <si>
    <t xml:space="preserve">   PACS/DCCB Development Fund</t>
  </si>
  <si>
    <t xml:space="preserve">   Contingent Reserves</t>
  </si>
  <si>
    <t xml:space="preserve">   Scheme for rectification of Imbalance</t>
  </si>
  <si>
    <t xml:space="preserve">   Co-operative Development Fund</t>
  </si>
  <si>
    <t xml:space="preserve">   Deposit Insurance Scheme - PACS</t>
  </si>
  <si>
    <t xml:space="preserve">   Rural Farmer's Socio-Economic</t>
  </si>
  <si>
    <t xml:space="preserve">   Revaluation Reserves - Land</t>
  </si>
  <si>
    <t xml:space="preserve">   Revaluation Reserves - Building</t>
  </si>
  <si>
    <t xml:space="preserve">   Investment Fluctuation Reserve</t>
  </si>
  <si>
    <t>Note 3 : Deposits and Other Accounts</t>
  </si>
  <si>
    <t>Term Deposits :</t>
  </si>
  <si>
    <t xml:space="preserve">   Individuals</t>
  </si>
  <si>
    <t xml:space="preserve">   Co-operative Societies</t>
  </si>
  <si>
    <t xml:space="preserve">   Urban Banks</t>
  </si>
  <si>
    <t xml:space="preserve">   DCC Banks</t>
  </si>
  <si>
    <t>Savings Bank Deposit :</t>
  </si>
  <si>
    <t>Current Deposits :</t>
  </si>
  <si>
    <t xml:space="preserve">   State Co-operative Banks</t>
  </si>
  <si>
    <t>Agricultural Credit Stabilisation Fund :</t>
  </si>
  <si>
    <t xml:space="preserve">   Bank</t>
  </si>
  <si>
    <t xml:space="preserve">   Grants &amp; Subsidy</t>
  </si>
  <si>
    <t>Other Funds and Reserves</t>
  </si>
  <si>
    <t>Note 4 : Borrowings</t>
  </si>
  <si>
    <t xml:space="preserve">   ST - SAO - OC</t>
  </si>
  <si>
    <t xml:space="preserve">   ST - SAO - OPP</t>
  </si>
  <si>
    <t xml:space="preserve">   ST - SAO - NPDP</t>
  </si>
  <si>
    <t xml:space="preserve">   MT - Long Term</t>
  </si>
  <si>
    <t xml:space="preserve">   MT - Schematic</t>
  </si>
  <si>
    <t xml:space="preserve">   MT - NFS</t>
  </si>
  <si>
    <t xml:space="preserve">   MT - PODF</t>
  </si>
  <si>
    <t>From NABARD :</t>
  </si>
  <si>
    <t xml:space="preserve">   SLPO</t>
  </si>
  <si>
    <t xml:space="preserve">   Suspense Liabilities</t>
  </si>
  <si>
    <t xml:space="preserve">   Demand Draft Payable</t>
  </si>
  <si>
    <t xml:space="preserve">   Staff Bonus &amp; Exgratia</t>
  </si>
  <si>
    <t xml:space="preserve">   Regional Provident Fund</t>
  </si>
  <si>
    <t xml:space="preserve">   NCDC III Project Liabilities</t>
  </si>
  <si>
    <t xml:space="preserve">   ACSTI Accounts</t>
  </si>
  <si>
    <t xml:space="preserve">   Provision for NPAs</t>
  </si>
  <si>
    <t xml:space="preserve">   Income Tax Collected &amp; Payable</t>
  </si>
  <si>
    <t xml:space="preserve">   Incentives</t>
  </si>
  <si>
    <t xml:space="preserve">   Income Tax Provision</t>
  </si>
  <si>
    <t xml:space="preserve">   Contingent Provision against Standard Assets</t>
  </si>
  <si>
    <t>Note 6 : Cash and Bank Balances</t>
  </si>
  <si>
    <t xml:space="preserve">   Cash on Hand   </t>
  </si>
  <si>
    <t xml:space="preserve">   Reserve Bank of India</t>
  </si>
  <si>
    <t xml:space="preserve">   State Bank of India</t>
  </si>
  <si>
    <t xml:space="preserve">   HDFC Bank</t>
  </si>
  <si>
    <t xml:space="preserve">   CBLO A/c with CCIL</t>
  </si>
  <si>
    <t xml:space="preserve">   Bank of Maharashtra</t>
  </si>
  <si>
    <t>Balances with Banks :</t>
  </si>
  <si>
    <t>Note 7 : Investments</t>
  </si>
  <si>
    <t xml:space="preserve">      Book Value</t>
  </si>
  <si>
    <t xml:space="preserve">      Face Value</t>
  </si>
  <si>
    <t>In Central Government Securities:</t>
  </si>
  <si>
    <t>In State Government Securities:</t>
  </si>
  <si>
    <t>Shares in Co-operative Institutions:</t>
  </si>
  <si>
    <t>Other Investments:</t>
  </si>
  <si>
    <t>Note 8 : Advances</t>
  </si>
  <si>
    <t xml:space="preserve">   SAO - OC</t>
  </si>
  <si>
    <t xml:space="preserve">   SAO - OPP</t>
  </si>
  <si>
    <t xml:space="preserve">   SAO - NPDP</t>
  </si>
  <si>
    <t xml:space="preserve">   Vehicle Loan</t>
  </si>
  <si>
    <t xml:space="preserve">   Jewel Loan</t>
  </si>
  <si>
    <t xml:space="preserve">   Staff Advance</t>
  </si>
  <si>
    <t xml:space="preserve">   Apex Vruthipara</t>
  </si>
  <si>
    <t xml:space="preserve">   Apex Travel</t>
  </si>
  <si>
    <t xml:space="preserve">   CCR II</t>
  </si>
  <si>
    <t xml:space="preserve">   CCR IV</t>
  </si>
  <si>
    <t xml:space="preserve">   CCR IX</t>
  </si>
  <si>
    <t xml:space="preserve">   CCR X</t>
  </si>
  <si>
    <t>Short Term Loans:</t>
  </si>
  <si>
    <t>Cash Credit Accounts:</t>
  </si>
  <si>
    <t xml:space="preserve">   Schematic</t>
  </si>
  <si>
    <t xml:space="preserve">   Non Agricultural</t>
  </si>
  <si>
    <t xml:space="preserve">   NFS</t>
  </si>
  <si>
    <t xml:space="preserve">   MT-PODF-PACS as MSCS</t>
  </si>
  <si>
    <t xml:space="preserve">   Advance against Deposits</t>
  </si>
  <si>
    <t xml:space="preserve">   Advance against Pledge of NSC/IVP</t>
  </si>
  <si>
    <t xml:space="preserve">   Advance-Apex Pension</t>
  </si>
  <si>
    <t xml:space="preserve">   Advance-Apex Women</t>
  </si>
  <si>
    <t xml:space="preserve">   Advance-Apex Overdraft</t>
  </si>
  <si>
    <t xml:space="preserve">   Apex BDA</t>
  </si>
  <si>
    <t xml:space="preserve">   Housing Loan - Staff</t>
  </si>
  <si>
    <t xml:space="preserve">   Housing Loan - Public</t>
  </si>
  <si>
    <t xml:space="preserve">   Project Loan</t>
  </si>
  <si>
    <t xml:space="preserve">   House Mortage Loan</t>
  </si>
  <si>
    <t xml:space="preserve">   Long Term loans-nabard</t>
  </si>
  <si>
    <t xml:space="preserve">   Education Loan</t>
  </si>
  <si>
    <t xml:space="preserve">   MCSM Ltd.,</t>
  </si>
  <si>
    <t xml:space="preserve">   MCOM Ltd.,</t>
  </si>
  <si>
    <t xml:space="preserve">   SVCTM Ltd.,</t>
  </si>
  <si>
    <t xml:space="preserve">   RSNG Ltd.,</t>
  </si>
  <si>
    <t xml:space="preserve">   Overdraft Staff</t>
  </si>
  <si>
    <t>Overdrafts:</t>
  </si>
  <si>
    <t>Medium Term Loans:</t>
  </si>
  <si>
    <t>Long Term Loans:</t>
  </si>
  <si>
    <t>NCDC III Project:</t>
  </si>
  <si>
    <t>Note 9 : Fixed Assets</t>
  </si>
  <si>
    <t>Vehicles less Depreciation</t>
  </si>
  <si>
    <t>Opening balance</t>
  </si>
  <si>
    <t>Add : Additions during the year</t>
  </si>
  <si>
    <t>Less : Sales during the year</t>
  </si>
  <si>
    <t>Less : Depreciation for the year</t>
  </si>
  <si>
    <t>Less : Depreciation on sale of assets</t>
  </si>
  <si>
    <t>Furnitures &amp; Fixtures less Depreciation:</t>
  </si>
  <si>
    <t>Premises (including Land):</t>
  </si>
  <si>
    <t>Computers less Depreciation:</t>
  </si>
  <si>
    <t>Opening WDV</t>
  </si>
  <si>
    <t>Note 10 : Other Assets</t>
  </si>
  <si>
    <t xml:space="preserve">   Sundry Assets</t>
  </si>
  <si>
    <t xml:space="preserve">   Suspense Assets</t>
  </si>
  <si>
    <t xml:space="preserve">   Income Tax Receivable</t>
  </si>
  <si>
    <t xml:space="preserve">   Clearing Returns</t>
  </si>
  <si>
    <t xml:space="preserve">   NCDC III Project Assets</t>
  </si>
  <si>
    <t xml:space="preserve">   ACSTI A/cs </t>
  </si>
  <si>
    <t xml:space="preserve">   Advance Income Tax </t>
  </si>
  <si>
    <t>Note 1 : Share Capital</t>
  </si>
  <si>
    <t>Note 2 : Reserve Fund &amp; Other Funds</t>
  </si>
  <si>
    <t>Note 11 : Interest and Discount</t>
  </si>
  <si>
    <t xml:space="preserve">   Interest on Loans &amp; CCR</t>
  </si>
  <si>
    <t xml:space="preserve">   Interest on Investments-GTS</t>
  </si>
  <si>
    <t xml:space="preserve">   Interest on Investments-Banks</t>
  </si>
  <si>
    <t xml:space="preserve">   Income from Sale of Bank Assets</t>
  </si>
  <si>
    <t xml:space="preserve">   Excess Investment Depreciation Reserve</t>
  </si>
  <si>
    <t>Note 12 : Commission and Brokerage</t>
  </si>
  <si>
    <t>Dividend</t>
  </si>
  <si>
    <t>Miscellaneous Receipts</t>
  </si>
  <si>
    <t>Note 14 : Interest on Deposits &amp; Borrowings</t>
  </si>
  <si>
    <t xml:space="preserve">   Interest paid on Deposits</t>
  </si>
  <si>
    <t xml:space="preserve">   Interest on Borrowings</t>
  </si>
  <si>
    <t>Note 15 : Salaries, Allowances &amp; Provident Fund</t>
  </si>
  <si>
    <t xml:space="preserve">   Salaries</t>
  </si>
  <si>
    <t xml:space="preserve">   Medical Expenses</t>
  </si>
  <si>
    <t xml:space="preserve">   Staff Provident Fund</t>
  </si>
  <si>
    <t>Note 16 : Directors Fee, Local Committee Members fee 
and Allowances</t>
  </si>
  <si>
    <t xml:space="preserve">   Honorarium to President</t>
  </si>
  <si>
    <t xml:space="preserve">   Honorarium to Vice President</t>
  </si>
  <si>
    <t xml:space="preserve">   Directors' Fees and Allowances</t>
  </si>
  <si>
    <t xml:space="preserve">   Study Tour to Directors</t>
  </si>
  <si>
    <t>Note 17 : Rent, Taxes, Insurance &amp; Electricity Charges</t>
  </si>
  <si>
    <t xml:space="preserve">   Rent</t>
  </si>
  <si>
    <t xml:space="preserve">   Building Tax</t>
  </si>
  <si>
    <t xml:space="preserve">   Profession Tax</t>
  </si>
  <si>
    <t xml:space="preserve">   Insurance</t>
  </si>
  <si>
    <t xml:space="preserve">   Water and Light</t>
  </si>
  <si>
    <t xml:space="preserve">   Filing Fee - Income Tax</t>
  </si>
  <si>
    <t>Note 18 : Postage and Telephone</t>
  </si>
  <si>
    <t xml:space="preserve">   Postage</t>
  </si>
  <si>
    <t xml:space="preserve">   Telephone</t>
  </si>
  <si>
    <t>Audit fees</t>
  </si>
  <si>
    <t>Note 19 : Audit fees</t>
  </si>
  <si>
    <t xml:space="preserve">   Statutory Audit Fee</t>
  </si>
  <si>
    <t xml:space="preserve">   Other Services</t>
  </si>
  <si>
    <t>Note 20 : Repairs to Bank Properties</t>
  </si>
  <si>
    <t xml:space="preserve">   Repairs to Vehicles</t>
  </si>
  <si>
    <t xml:space="preserve">   Repairs to Furniture</t>
  </si>
  <si>
    <t xml:space="preserve">   Repairs to Buildings</t>
  </si>
  <si>
    <t>Note 21 : Printing, Stationery and Advertisement</t>
  </si>
  <si>
    <t xml:space="preserve">   Printing and Stationery</t>
  </si>
  <si>
    <t xml:space="preserve">   Advertisement and Publicity</t>
  </si>
  <si>
    <t>Note 22 : Other Expenditure</t>
  </si>
  <si>
    <t xml:space="preserve">   RBI RTGS Maintainence</t>
  </si>
  <si>
    <t xml:space="preserve">   TA and Inspection</t>
  </si>
  <si>
    <t xml:space="preserve">   Misceleneous expenditure</t>
  </si>
  <si>
    <t xml:space="preserve">   News Papers &amp; Periodicals</t>
  </si>
  <si>
    <t xml:space="preserve">   Vehicle Maintenance</t>
  </si>
  <si>
    <t xml:space="preserve">   Consultancy Specialist Charges</t>
  </si>
  <si>
    <t xml:space="preserve">   Training to Staff</t>
  </si>
  <si>
    <t xml:space="preserve">   Guest House Contingency</t>
  </si>
  <si>
    <t xml:space="preserve">   Subscription to Co-operative Institutions</t>
  </si>
  <si>
    <t xml:space="preserve">   Computer Maintenance</t>
  </si>
  <si>
    <t xml:space="preserve">   Hospitality Expenses</t>
  </si>
  <si>
    <t xml:space="preserve">   Gift to Staff</t>
  </si>
  <si>
    <t xml:space="preserve">   Staff Bonus/Exgratia</t>
  </si>
  <si>
    <t xml:space="preserve">   Total Management Expenses (2 to 10)</t>
  </si>
  <si>
    <t xml:space="preserve">   Subscription to other than Co-operative Institutions</t>
  </si>
  <si>
    <t xml:space="preserve">   Infrastructure Develop Assistance to Member Banks</t>
  </si>
  <si>
    <t>See accompanying notes forming part of the financial statements</t>
  </si>
  <si>
    <t>I. CAPITAL AND LIABILITIES</t>
  </si>
  <si>
    <t>II. PROPERTY AND ASSETS</t>
  </si>
  <si>
    <t>Partner</t>
  </si>
  <si>
    <t>THE  KARNATAKA  STATE  CO-OPERATIVE  APEX  BANK  LIMITED</t>
  </si>
  <si>
    <t xml:space="preserve">          THE  KARNATAKA  STATE  CO-OPERATIVE  APEX  BANK  LIMITED</t>
  </si>
  <si>
    <t>President                          Director</t>
  </si>
  <si>
    <t>Note 5 : Other Liabilities</t>
  </si>
  <si>
    <t xml:space="preserve">   Installment Loan</t>
  </si>
  <si>
    <t>Co-Operative Socieities</t>
  </si>
  <si>
    <t>Advance-Apex Rent</t>
  </si>
  <si>
    <t>Branch Adjustment</t>
  </si>
  <si>
    <t>Amortization of GOI Securities</t>
  </si>
  <si>
    <t>ATM Charges</t>
  </si>
  <si>
    <t>Dividend and Miscellaneous Receipts</t>
  </si>
  <si>
    <t>Karnataka State Co-operative Apex Bank Limited</t>
  </si>
  <si>
    <t>No. 1, Pampa Mahakavi Road, Chamarajpet, Bangalore - 560 018</t>
  </si>
  <si>
    <t>A.O. Section</t>
  </si>
  <si>
    <t>Date: 17-07-2017</t>
  </si>
  <si>
    <t>Sl</t>
  </si>
  <si>
    <t>Expenditure</t>
  </si>
  <si>
    <t>Amount</t>
  </si>
  <si>
    <t>Income</t>
  </si>
  <si>
    <t>Interest on Dep, Borrowings and Other A/cs</t>
  </si>
  <si>
    <t xml:space="preserve">   Interest on Deposits</t>
  </si>
  <si>
    <t xml:space="preserve">   Interest on Invt - GTS</t>
  </si>
  <si>
    <t xml:space="preserve">   Interest on Invt - Banks</t>
  </si>
  <si>
    <t>Salaries, Allowances and Provident Fund</t>
  </si>
  <si>
    <t xml:space="preserve">   Income from sale of Bank Assets</t>
  </si>
  <si>
    <t xml:space="preserve">   Excess Cent year celaberation fund</t>
  </si>
  <si>
    <t xml:space="preserve">   Incentives received from RBI</t>
  </si>
  <si>
    <t xml:space="preserve">   Excess Prov in Invest Dep Reserve</t>
  </si>
  <si>
    <t xml:space="preserve">   Excess Old Bad &amp; Doubtful Debt Reserve</t>
  </si>
  <si>
    <t xml:space="preserve">Directors' &amp; Committee Members' Fee and </t>
  </si>
  <si>
    <t>Allowances</t>
  </si>
  <si>
    <t>Commission, Exchange &amp; Brokerage</t>
  </si>
  <si>
    <t xml:space="preserve">   Dividend</t>
  </si>
  <si>
    <t>Rent, Taxes, Insurance and Lighting</t>
  </si>
  <si>
    <t xml:space="preserve">   PMJJBY</t>
  </si>
  <si>
    <t xml:space="preserve">   NPCI  Charges Received</t>
  </si>
  <si>
    <t xml:space="preserve">   Locker Rent</t>
  </si>
  <si>
    <t xml:space="preserve">   Loan processing Charges</t>
  </si>
  <si>
    <t xml:space="preserve">   Loan Application Charges</t>
  </si>
  <si>
    <t xml:space="preserve">   E-stamping Service Charges</t>
  </si>
  <si>
    <t xml:space="preserve">   Legal Charges</t>
  </si>
  <si>
    <t>Postage and Telephone charges</t>
  </si>
  <si>
    <t>Auditor's Fees</t>
  </si>
  <si>
    <t xml:space="preserve">   Audit Cost to CAs</t>
  </si>
  <si>
    <t>Other Expenditures</t>
  </si>
  <si>
    <t xml:space="preserve">   Amortization of GOI Securities</t>
  </si>
  <si>
    <t xml:space="preserve">   Centenary yr celeberation expenses</t>
  </si>
  <si>
    <t xml:space="preserve">   Consultancy Special charges</t>
  </si>
  <si>
    <t xml:space="preserve">   ATM Charges</t>
  </si>
  <si>
    <t xml:space="preserve">   RTGS Maintainence</t>
  </si>
  <si>
    <t xml:space="preserve">   Loss on Sale/Conversion of Govt. Securities </t>
  </si>
  <si>
    <t xml:space="preserve">   Uniform to Staff</t>
  </si>
  <si>
    <t xml:space="preserve">   Infrastructure Develop Assistance to Member </t>
  </si>
  <si>
    <t xml:space="preserve">   Banks</t>
  </si>
  <si>
    <t xml:space="preserve">   Diff IT paid (AY 2015-16)</t>
  </si>
  <si>
    <t xml:space="preserve">   Diff Income Tax paid (Ay.2008-09)</t>
  </si>
  <si>
    <t xml:space="preserve">   Diff Income Tax paid (AY 2013-2014)</t>
  </si>
  <si>
    <t xml:space="preserve">   Income tax paid</t>
  </si>
  <si>
    <t>Provisions</t>
  </si>
  <si>
    <t xml:space="preserve">   Bad &amp; Doubtful Debt Reserve</t>
  </si>
  <si>
    <t xml:space="preserve">   Income Tax</t>
  </si>
  <si>
    <t>Net Profit</t>
  </si>
  <si>
    <t>Capital and Liabilities</t>
  </si>
  <si>
    <t>Property and Assets</t>
  </si>
  <si>
    <t>Capital</t>
  </si>
  <si>
    <t>Cash On Hand &amp; Bank Balances</t>
  </si>
  <si>
    <t xml:space="preserve">   A. Authorised share capital</t>
  </si>
  <si>
    <t xml:space="preserve">   Cash On Hand</t>
  </si>
  <si>
    <t xml:space="preserve">      15000000 shares of 100/- each</t>
  </si>
  <si>
    <t xml:space="preserve">   B. Subscribed share capital</t>
  </si>
  <si>
    <t xml:space="preserve">      8387577 shares of 100/- each</t>
  </si>
  <si>
    <t xml:space="preserve">   C. Paid-up share capital</t>
  </si>
  <si>
    <t xml:space="preserve">      Co-operative institutions</t>
  </si>
  <si>
    <t xml:space="preserve">   CBLO A/c With CCIL</t>
  </si>
  <si>
    <t xml:space="preserve">      Other than co-op institutions</t>
  </si>
  <si>
    <t xml:space="preserve">   Bank of Maharastra</t>
  </si>
  <si>
    <t xml:space="preserve">      State Government</t>
  </si>
  <si>
    <t xml:space="preserve">-    </t>
  </si>
  <si>
    <t>Reserve Fund and other reserves</t>
  </si>
  <si>
    <t xml:space="preserve">   Agricultural Credit Stabilisation Fund</t>
  </si>
  <si>
    <t xml:space="preserve">   In Central Government Securities</t>
  </si>
  <si>
    <t xml:space="preserve">      Bank</t>
  </si>
  <si>
    <t xml:space="preserve">      Grants &amp; Subsidy</t>
  </si>
  <si>
    <t xml:space="preserve">   Agricultural Credit Guarantee Relief Fund</t>
  </si>
  <si>
    <t xml:space="preserve">   In State Government Securities</t>
  </si>
  <si>
    <t xml:space="preserve">   Other Funds and Reserves</t>
  </si>
  <si>
    <t xml:space="preserve">      Capital Reserve</t>
  </si>
  <si>
    <t xml:space="preserve">      Building Fund</t>
  </si>
  <si>
    <t xml:space="preserve">   Shares in Co-operative Institutions</t>
  </si>
  <si>
    <t xml:space="preserve">      Dividend Equalisation Fund</t>
  </si>
  <si>
    <t xml:space="preserve">      Bad and Doubtful Debts Reserve</t>
  </si>
  <si>
    <t xml:space="preserve">      Investment Depreciation Reserve</t>
  </si>
  <si>
    <t xml:space="preserve">   Other Investments</t>
  </si>
  <si>
    <t xml:space="preserve">      Investment Fluctuation Reserve</t>
  </si>
  <si>
    <t xml:space="preserve">      Common Good Fund</t>
  </si>
  <si>
    <t xml:space="preserve">      PACS/DCCB Development Fund</t>
  </si>
  <si>
    <t xml:space="preserve">      Special Assistance Fund</t>
  </si>
  <si>
    <t xml:space="preserve">      Farmers Welfare Fund</t>
  </si>
  <si>
    <t xml:space="preserve">   ST Loans</t>
  </si>
  <si>
    <t xml:space="preserve">      Cadre Fund</t>
  </si>
  <si>
    <t xml:space="preserve">      SAO-OC</t>
  </si>
  <si>
    <t xml:space="preserve">      Co-operative Development Fund</t>
  </si>
  <si>
    <t xml:space="preserve">      SAO-OPP</t>
  </si>
  <si>
    <t xml:space="preserve">      Scheme for Rectification of Imbalance</t>
  </si>
  <si>
    <t xml:space="preserve">      SAO-NPDP</t>
  </si>
  <si>
    <t xml:space="preserve">      Deposit Insurance Scheme - PACS</t>
  </si>
  <si>
    <t xml:space="preserve">      Instalment Loan</t>
  </si>
  <si>
    <t xml:space="preserve">      Vehicle Loan</t>
  </si>
  <si>
    <t xml:space="preserve">      Rural Farmers' Socio-Economic Development</t>
  </si>
  <si>
    <t xml:space="preserve">      Jewel Loan</t>
  </si>
  <si>
    <t xml:space="preserve">      Fund</t>
  </si>
  <si>
    <t xml:space="preserve">      Staff Advance</t>
  </si>
  <si>
    <t xml:space="preserve">      Revaluation Reserves - Land</t>
  </si>
  <si>
    <t xml:space="preserve">      Bills Discounted</t>
  </si>
  <si>
    <t xml:space="preserve">      Revaluation Reserves - Building</t>
  </si>
  <si>
    <t xml:space="preserve">      Apex Vruthipara</t>
  </si>
  <si>
    <t xml:space="preserve">      Apex Personal</t>
  </si>
  <si>
    <t xml:space="preserve">      Apex Travel</t>
  </si>
  <si>
    <t xml:space="preserve">   Fixed Deposits</t>
  </si>
  <si>
    <t xml:space="preserve">   Cash Credit A/c</t>
  </si>
  <si>
    <t xml:space="preserve">      Individuals</t>
  </si>
  <si>
    <t xml:space="preserve">      CCR I</t>
  </si>
  <si>
    <t xml:space="preserve">      Co-operative Societies</t>
  </si>
  <si>
    <t xml:space="preserve">      CCR II</t>
  </si>
  <si>
    <t xml:space="preserve">      Urban Banks</t>
  </si>
  <si>
    <t xml:space="preserve">      CCR IV</t>
  </si>
  <si>
    <t xml:space="preserve">      Central Co-operative Banks</t>
  </si>
  <si>
    <t xml:space="preserve">   Savings Bank Deposits</t>
  </si>
  <si>
    <t xml:space="preserve">      CCR IX</t>
  </si>
  <si>
    <t xml:space="preserve">      CCR X</t>
  </si>
  <si>
    <t xml:space="preserve">   Overdrafts</t>
  </si>
  <si>
    <t xml:space="preserve">   Current Deposits</t>
  </si>
  <si>
    <t xml:space="preserve">      Overdraft - Staff</t>
  </si>
  <si>
    <t xml:space="preserve">   MT Loans</t>
  </si>
  <si>
    <t xml:space="preserve">      State Co-operative Banks</t>
  </si>
  <si>
    <t xml:space="preserve">      Schematic</t>
  </si>
  <si>
    <t xml:space="preserve">   Reserve Fund Deposits</t>
  </si>
  <si>
    <t xml:space="preserve">      Non Agr</t>
  </si>
  <si>
    <t xml:space="preserve">      NFS</t>
  </si>
  <si>
    <t xml:space="preserve">      MT Advance - PODF-PACS as MSCS</t>
  </si>
  <si>
    <t xml:space="preserve">      Advance Against Deposits</t>
  </si>
  <si>
    <t xml:space="preserve">   Diamond Jubilee Jeevan Jyothi Deposits</t>
  </si>
  <si>
    <t xml:space="preserve">      Advance Against Pledge of NSC / IVP</t>
  </si>
  <si>
    <t xml:space="preserve">      Advance - Apex Pension</t>
  </si>
  <si>
    <t xml:space="preserve">      Advances - Apex Women</t>
  </si>
  <si>
    <t xml:space="preserve">      Advance - Apex Overdraft</t>
  </si>
  <si>
    <t xml:space="preserve">      Advance-Apex Rent</t>
  </si>
  <si>
    <t xml:space="preserve">   Other Deposits</t>
  </si>
  <si>
    <t xml:space="preserve">   LT Loans</t>
  </si>
  <si>
    <t xml:space="preserve">      Cumulative Deposits</t>
  </si>
  <si>
    <t xml:space="preserve">      Housing Loan - Staff</t>
  </si>
  <si>
    <t xml:space="preserve">      Staff Security Deposits</t>
  </si>
  <si>
    <t xml:space="preserve">      Housing Loan - Public</t>
  </si>
  <si>
    <t xml:space="preserve">      Pension Plan Scheme Deposits</t>
  </si>
  <si>
    <t xml:space="preserve">      Project Loan</t>
  </si>
  <si>
    <t xml:space="preserve">      Other Deposit Schemes</t>
  </si>
  <si>
    <t xml:space="preserve">      House Mortage Loan</t>
  </si>
  <si>
    <t xml:space="preserve">      Credit Balance in CCR A/cs</t>
  </si>
  <si>
    <t xml:space="preserve">      Education Loan</t>
  </si>
  <si>
    <t xml:space="preserve">      Other Dep.Schemes-Matured &amp; In-op a/c's</t>
  </si>
  <si>
    <t xml:space="preserve">      Apex BDA</t>
  </si>
  <si>
    <t xml:space="preserve">      Long Term loans-Nabard</t>
  </si>
  <si>
    <t xml:space="preserve">   NCDC III Project</t>
  </si>
  <si>
    <t xml:space="preserve">   NABARD</t>
  </si>
  <si>
    <t xml:space="preserve">      MCSM Ltd.</t>
  </si>
  <si>
    <t xml:space="preserve">      Long Term</t>
  </si>
  <si>
    <t xml:space="preserve">      MCOM Ltd.</t>
  </si>
  <si>
    <t xml:space="preserve">      ST-SAO-OC</t>
  </si>
  <si>
    <t xml:space="preserve">      SVCTM Ltd.</t>
  </si>
  <si>
    <t xml:space="preserve">      ST-SAO-OPP</t>
  </si>
  <si>
    <t xml:space="preserve">      RSNG Ltd.</t>
  </si>
  <si>
    <t xml:space="preserve">      ST-SAO-NPDP</t>
  </si>
  <si>
    <t xml:space="preserve">      MT-Schematic</t>
  </si>
  <si>
    <t>Bills Receivable (Contra)</t>
  </si>
  <si>
    <t xml:space="preserve">      MT-NFS</t>
  </si>
  <si>
    <t xml:space="preserve">   OBC</t>
  </si>
  <si>
    <t xml:space="preserve">      MT-Borrowings-PODF-PACS as MSCS</t>
  </si>
  <si>
    <t>Interest Receivable (Contra)</t>
  </si>
  <si>
    <t xml:space="preserve">   Central Co-operative Banks</t>
  </si>
  <si>
    <t>Branch Adjustments</t>
  </si>
  <si>
    <t xml:space="preserve">      CCR X (Food Credit)</t>
  </si>
  <si>
    <t>Bills Sent for Collection (Contra)</t>
  </si>
  <si>
    <t xml:space="preserve">   Premises</t>
  </si>
  <si>
    <t xml:space="preserve">   Furniture &amp; Fixtures</t>
  </si>
  <si>
    <t xml:space="preserve">   Computers</t>
  </si>
  <si>
    <t>Interest Reserve (Contra)</t>
  </si>
  <si>
    <t xml:space="preserve">   Vehicles</t>
  </si>
  <si>
    <t xml:space="preserve">   Advance Income Tax</t>
  </si>
  <si>
    <t xml:space="preserve">   Contingent Provision Against Standard Assets</t>
  </si>
  <si>
    <t xml:space="preserve">   Regional PF Commissioner</t>
  </si>
  <si>
    <t>b) KSUBF</t>
  </si>
  <si>
    <t xml:space="preserve">c) State &amp; National Co-op Inst. </t>
  </si>
  <si>
    <t>d) Other than Co-op. Inst.</t>
  </si>
  <si>
    <t>b) State Government</t>
  </si>
  <si>
    <t>The Karnataka State Cooperative Apex Bank Ltd.,</t>
  </si>
  <si>
    <t>Type</t>
  </si>
  <si>
    <t>Share Movements</t>
  </si>
  <si>
    <t>Refund</t>
  </si>
  <si>
    <t>Additions</t>
  </si>
  <si>
    <t>Members</t>
  </si>
  <si>
    <t>Shares</t>
  </si>
  <si>
    <t>A</t>
  </si>
  <si>
    <t>DCC Banks</t>
  </si>
  <si>
    <t>B</t>
  </si>
  <si>
    <t>State Government</t>
  </si>
  <si>
    <t>C</t>
  </si>
  <si>
    <t>Associate Members</t>
  </si>
  <si>
    <t xml:space="preserve">   Loss on Sale of GOI Securities</t>
  </si>
  <si>
    <t>Overdue Interest Reserve (As per contra)</t>
  </si>
  <si>
    <t xml:space="preserve">   Central Co-operative Banks CCR X (Food Credit)</t>
  </si>
  <si>
    <t>As at 
March  31, 2018</t>
  </si>
  <si>
    <t xml:space="preserve">  Year ended 
March  31, 2018</t>
  </si>
  <si>
    <t xml:space="preserve">   Non Performing Asset</t>
  </si>
  <si>
    <t xml:space="preserve">   Special Reserve</t>
  </si>
  <si>
    <t xml:space="preserve">   Pension Scheme Fund   </t>
  </si>
  <si>
    <t>Year ended                   
March 31, 2018</t>
  </si>
  <si>
    <t>c) Pension Scheme Fund</t>
  </si>
  <si>
    <t>For Ramraj &amp; Co.,</t>
  </si>
  <si>
    <t>Firm Registration No -002839S</t>
  </si>
  <si>
    <t>Per our Report of Even Date</t>
  </si>
  <si>
    <t xml:space="preserve">   State Co-Operative Banks</t>
  </si>
  <si>
    <t xml:space="preserve">   Indusind Bank</t>
  </si>
  <si>
    <t xml:space="preserve">      CCR V</t>
  </si>
  <si>
    <t xml:space="preserve">      CCR VI</t>
  </si>
  <si>
    <t xml:space="preserve">   GST</t>
  </si>
  <si>
    <t xml:space="preserve">  Interest Receivable from GoK</t>
  </si>
  <si>
    <t xml:space="preserve">      Pension Scheme Fund</t>
  </si>
  <si>
    <t>31.03.2018</t>
  </si>
  <si>
    <t xml:space="preserve">   Pension Scheme Fund</t>
  </si>
  <si>
    <t>Firm Registration No - 002839S</t>
  </si>
  <si>
    <t>Place : Bengaluru</t>
  </si>
  <si>
    <t xml:space="preserve">  As at 
March  31, 2018</t>
  </si>
  <si>
    <t xml:space="preserve">   State Co Operative Banks</t>
  </si>
  <si>
    <t xml:space="preserve">   Indus Ind Bank</t>
  </si>
  <si>
    <t xml:space="preserve">   Interest Receivable from GoK</t>
  </si>
  <si>
    <t>nanda</t>
  </si>
  <si>
    <t>CA P. KARUNAKARA NAIDU</t>
  </si>
  <si>
    <t>M No. 210603</t>
  </si>
  <si>
    <t xml:space="preserve">   Excess Contingency Reserve</t>
  </si>
  <si>
    <t xml:space="preserve">   Provision other assets withdrawn</t>
  </si>
  <si>
    <t>ACSTI a/c</t>
  </si>
  <si>
    <t>CA P.KARUNAKARA NAIDU</t>
  </si>
  <si>
    <t>Less : Amortisation of Revaluation Reserve</t>
  </si>
  <si>
    <t>Contingent Liabilities</t>
  </si>
  <si>
    <t>Amount in Rs.</t>
  </si>
  <si>
    <t>Directors Fee, Local Committee Members fee, Allowances and Study Tour</t>
  </si>
  <si>
    <t xml:space="preserve">   CCR V</t>
  </si>
  <si>
    <t xml:space="preserve">   CCR VI</t>
  </si>
  <si>
    <t>f) Non Performing Asset</t>
  </si>
  <si>
    <t>g) Contingent Reserves for Standard Assets</t>
  </si>
  <si>
    <t>h) Investment Fluctuation Reserve</t>
  </si>
  <si>
    <t>i) Capital Reserve</t>
  </si>
  <si>
    <t xml:space="preserve">  As at 
March  31, 2019</t>
  </si>
  <si>
    <t>As at 
March  31, 2019</t>
  </si>
  <si>
    <t>Schedules forming part of financial statements as at 31.03.2019</t>
  </si>
  <si>
    <t>Year ended                   
March 31, 2019</t>
  </si>
  <si>
    <t xml:space="preserve">   Bank Charges &amp; Insurance Commission</t>
  </si>
  <si>
    <t>Income on investment in GTS</t>
  </si>
  <si>
    <t xml:space="preserve">   Income on investment in GTS</t>
  </si>
  <si>
    <t xml:space="preserve">   Guest House &amp; Hostel Rent</t>
  </si>
  <si>
    <t xml:space="preserve">   Examination/ Training Fee</t>
  </si>
  <si>
    <t xml:space="preserve">   Income from Training Centre</t>
  </si>
  <si>
    <t xml:space="preserve">   Repairs &amp; Maintanance</t>
  </si>
  <si>
    <t xml:space="preserve">   Contribution to Flood Relief Fund</t>
  </si>
  <si>
    <t xml:space="preserve">   Other Assets</t>
  </si>
  <si>
    <t>Contribution to Flood Relief</t>
  </si>
  <si>
    <t>a) Other Assets</t>
  </si>
  <si>
    <t xml:space="preserve">      ST-OTHERS</t>
  </si>
  <si>
    <t>2018-19</t>
  </si>
  <si>
    <t xml:space="preserve">    ACSTI </t>
  </si>
  <si>
    <t xml:space="preserve">   IDFC</t>
  </si>
  <si>
    <t xml:space="preserve">  Interest Receivable GTS</t>
  </si>
  <si>
    <t xml:space="preserve"> Special Reserve</t>
  </si>
  <si>
    <t xml:space="preserve">   ST - Others</t>
  </si>
  <si>
    <t xml:space="preserve">   IDFC Bank</t>
  </si>
  <si>
    <t xml:space="preserve">    Interest Receivable GTS</t>
  </si>
  <si>
    <t xml:space="preserve">  Year ended 
March  31, 2019</t>
  </si>
  <si>
    <t>Guaranteed issued &amp; Fully Secured    : Rs. 7 29 67 200.00</t>
  </si>
  <si>
    <t>Share Capital Movements during the year 2018-19</t>
  </si>
  <si>
    <t>C-1</t>
  </si>
  <si>
    <t>31.03.2019</t>
  </si>
  <si>
    <t>(4973 Shares)</t>
  </si>
  <si>
    <t>a) DCC Banks(3,893 Shares)</t>
  </si>
  <si>
    <t>c) Associated / Nominal Members (1080 Shares)</t>
  </si>
  <si>
    <t>Less : Depreciation adjustment of earlier year</t>
  </si>
  <si>
    <t>Less : Adjustment during the year</t>
  </si>
  <si>
    <t>Add : Adjustments of earlier year</t>
  </si>
  <si>
    <t>Less : Reimbursement from NABARD</t>
  </si>
  <si>
    <t xml:space="preserve">Less : Sales/Refunds during the year </t>
  </si>
  <si>
    <t>Profit and Loss Account for the period ended 31st March, 2019</t>
  </si>
  <si>
    <t>Balance Sheet as on 31.03.2019</t>
  </si>
  <si>
    <t xml:space="preserve">      10000 shares of 1000000/- each</t>
  </si>
  <si>
    <t>Chief Executive Officer                                   CGM (A &amp; D)                     CGM (F &amp; A)                  GM (Banking)</t>
  </si>
  <si>
    <t>Chief Executive Officer                                             CGM (A &amp; D)                     CGM (F &amp; A)                  GM (Banking)</t>
  </si>
  <si>
    <t>Note 13 : Dividend and Miscellaneous Receipts</t>
  </si>
  <si>
    <t>Date : 06.08.2019</t>
  </si>
  <si>
    <t>BALANCE SHEET AS AT 31st MARCH 2019</t>
  </si>
  <si>
    <t>STATEMENT OF PROFIT AND LOSS  FOR THE YEAR ENDED 31st MARCH 2019</t>
  </si>
  <si>
    <t>THE  KARNATAKA  STATE  CO-OPERATIVE  APEX BANK LIMITED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</si>
</sst>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164" formatCode="_(* #,##0.00_);_(* \(#,##0.00\);_(* &quot;-&quot;??_);_(@_)"/>
    <numFmt numFmtId="165" formatCode="#,##0_ ;\-#,##0\ "/>
    <numFmt numFmtId="166" formatCode="_(* #,##0_);_(* \(#,##0\);_(* &quot;-&quot;??_);_(@_)"/>
    <numFmt numFmtId="167" formatCode="#,##0.0;\-#,##0.0"/>
    <numFmt numFmtId="168" formatCode="##,###,###,##0.00"/>
    <numFmt numFmtId="169" formatCode="_ * #,##0_ ;_ * \-#,##0_ ;_ * &quot;-&quot;??_ ;_ @_ "/>
    <numFmt numFmtId="170" formatCode="0000\ 00\ 00\ 000"/>
    <numFmt numFmtId="171" formatCode="0\ 00\ 00\ 000"/>
    <numFmt numFmtId="172" formatCode="0\ 00\ 000"/>
    <numFmt numFmtId="173" formatCode="00\ 000"/>
    <numFmt numFmtId="174" formatCode="_(* #,##0.0_);_(* \(#,##0.0\);_(* &quot;-&quot;??_);_(@_)"/>
  </numFmts>
  <fonts count="28" x14ac:knownFonts="1">
    <font>
      <sz val="10"/>
      <name val="Courie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b/>
      <i/>
      <sz val="14"/>
      <color theme="1"/>
      <name val="Arial"/>
      <family val="2"/>
    </font>
    <font>
      <i/>
      <sz val="14"/>
      <color theme="1"/>
      <name val="Arial"/>
      <family val="2"/>
    </font>
    <font>
      <b/>
      <sz val="16"/>
      <color theme="1"/>
      <name val="Arial"/>
      <family val="2"/>
    </font>
    <font>
      <sz val="16"/>
      <name val="Arial"/>
      <family val="2"/>
    </font>
    <font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26"/>
      <color theme="1"/>
      <name val="Arial"/>
      <family val="2"/>
    </font>
    <font>
      <sz val="26"/>
      <name val="Arial"/>
      <family val="2"/>
    </font>
    <font>
      <b/>
      <sz val="26"/>
      <name val="Arial"/>
      <family val="2"/>
    </font>
    <font>
      <sz val="26"/>
      <color theme="1"/>
      <name val="Arial"/>
      <family val="2"/>
    </font>
    <font>
      <u/>
      <sz val="26"/>
      <color theme="1"/>
      <name val="Arial"/>
      <family val="2"/>
    </font>
    <font>
      <u/>
      <sz val="26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0"/>
      <color theme="1"/>
      <name val="Book Antiqua"/>
      <family val="1"/>
    </font>
    <font>
      <b/>
      <sz val="10"/>
      <color theme="1"/>
      <name val="Book Antiqua"/>
      <family val="1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000000"/>
      <name val="Verdana"/>
      <family val="2"/>
    </font>
    <font>
      <sz val="9"/>
      <color rgb="FF000000"/>
      <name val="Verdana"/>
      <family val="2"/>
    </font>
    <font>
      <u/>
      <sz val="16"/>
      <color theme="1"/>
      <name val="Arial"/>
      <family val="2"/>
    </font>
    <font>
      <b/>
      <sz val="10"/>
      <name val="Courier"/>
    </font>
  </fonts>
  <fills count="6">
    <fill>
      <patternFill patternType="none"/>
    </fill>
    <fill>
      <patternFill patternType="gray125"/>
    </fill>
    <fill>
      <patternFill patternType="solid">
        <fgColor rgb="FFEAEAEA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4">
    <xf numFmtId="39" fontId="0" fillId="0" borderId="0"/>
    <xf numFmtId="164" fontId="2" fillId="0" borderId="0" applyFont="0" applyFill="0" applyBorder="0" applyAlignment="0" applyProtection="0"/>
    <xf numFmtId="0" fontId="3" fillId="0" borderId="0"/>
    <xf numFmtId="0" fontId="1" fillId="0" borderId="0"/>
  </cellStyleXfs>
  <cellXfs count="375">
    <xf numFmtId="39" fontId="0" fillId="0" borderId="0" xfId="0"/>
    <xf numFmtId="39" fontId="4" fillId="0" borderId="0" xfId="0" applyFont="1" applyBorder="1" applyAlignment="1">
      <alignment horizontal="center"/>
    </xf>
    <xf numFmtId="165" fontId="4" fillId="0" borderId="0" xfId="0" applyNumberFormat="1" applyFont="1" applyBorder="1" applyAlignment="1">
      <alignment horizontal="center"/>
    </xf>
    <xf numFmtId="39" fontId="5" fillId="0" borderId="0" xfId="0" applyFont="1" applyBorder="1" applyAlignment="1">
      <alignment horizontal="left" vertical="top"/>
    </xf>
    <xf numFmtId="39" fontId="5" fillId="0" borderId="0" xfId="0" quotePrefix="1" applyFont="1" applyBorder="1" applyAlignment="1">
      <alignment horizontal="center"/>
    </xf>
    <xf numFmtId="39" fontId="7" fillId="0" borderId="0" xfId="0" applyFont="1" applyBorder="1" applyAlignment="1">
      <alignment horizontal="center" vertical="top"/>
    </xf>
    <xf numFmtId="39" fontId="4" fillId="0" borderId="0" xfId="0" applyFont="1" applyBorder="1" applyAlignment="1">
      <alignment horizontal="center" vertical="top"/>
    </xf>
    <xf numFmtId="39" fontId="5" fillId="0" borderId="0" xfId="0" applyFont="1" applyBorder="1" applyAlignment="1">
      <alignment horizontal="center" vertical="top"/>
    </xf>
    <xf numFmtId="166" fontId="4" fillId="0" borderId="0" xfId="1" applyNumberFormat="1" applyFont="1" applyBorder="1"/>
    <xf numFmtId="166" fontId="5" fillId="0" borderId="0" xfId="1" applyNumberFormat="1" applyFont="1" applyBorder="1"/>
    <xf numFmtId="166" fontId="5" fillId="0" borderId="0" xfId="1" applyNumberFormat="1" applyFont="1" applyBorder="1" applyAlignment="1"/>
    <xf numFmtId="166" fontId="5" fillId="0" borderId="0" xfId="1" applyNumberFormat="1" applyFont="1" applyBorder="1" applyAlignment="1">
      <alignment horizontal="left" vertical="top"/>
    </xf>
    <xf numFmtId="39" fontId="5" fillId="0" borderId="0" xfId="0" applyFont="1" applyBorder="1" applyAlignment="1">
      <alignment horizontal="left"/>
    </xf>
    <xf numFmtId="39" fontId="9" fillId="0" borderId="0" xfId="0" applyFont="1"/>
    <xf numFmtId="39" fontId="10" fillId="0" borderId="0" xfId="0" applyFont="1"/>
    <xf numFmtId="166" fontId="10" fillId="0" borderId="0" xfId="1" applyNumberFormat="1" applyFont="1"/>
    <xf numFmtId="39" fontId="8" fillId="3" borderId="1" xfId="0" applyFont="1" applyFill="1" applyBorder="1" applyAlignment="1">
      <alignment horizontal="center" vertical="center" wrapText="1"/>
    </xf>
    <xf numFmtId="166" fontId="8" fillId="3" borderId="1" xfId="1" quotePrefix="1" applyNumberFormat="1" applyFont="1" applyFill="1" applyBorder="1" applyAlignment="1">
      <alignment horizontal="center" vertical="justify" wrapText="1"/>
    </xf>
    <xf numFmtId="39" fontId="10" fillId="0" borderId="0" xfId="0" applyFont="1" applyAlignment="1">
      <alignment horizontal="center"/>
    </xf>
    <xf numFmtId="39" fontId="10" fillId="0" borderId="3" xfId="0" applyFont="1" applyBorder="1"/>
    <xf numFmtId="37" fontId="10" fillId="0" borderId="1" xfId="0" applyNumberFormat="1" applyFont="1" applyBorder="1" applyAlignment="1">
      <alignment horizontal="center"/>
    </xf>
    <xf numFmtId="37" fontId="10" fillId="0" borderId="8" xfId="0" applyNumberFormat="1" applyFont="1" applyBorder="1" applyAlignment="1">
      <alignment horizontal="center"/>
    </xf>
    <xf numFmtId="37" fontId="10" fillId="0" borderId="3" xfId="0" applyNumberFormat="1" applyFont="1" applyBorder="1" applyAlignment="1">
      <alignment horizontal="center"/>
    </xf>
    <xf numFmtId="39" fontId="10" fillId="0" borderId="3" xfId="0" applyFont="1" applyBorder="1" applyAlignment="1">
      <alignment horizontal="center"/>
    </xf>
    <xf numFmtId="39" fontId="8" fillId="0" borderId="3" xfId="0" applyFont="1" applyFill="1" applyBorder="1" applyAlignment="1">
      <alignment horizontal="center"/>
    </xf>
    <xf numFmtId="39" fontId="10" fillId="0" borderId="3" xfId="0" applyFont="1" applyFill="1" applyBorder="1" applyAlignment="1">
      <alignment horizontal="center"/>
    </xf>
    <xf numFmtId="39" fontId="10" fillId="0" borderId="2" xfId="0" applyFont="1" applyFill="1" applyBorder="1" applyAlignment="1">
      <alignment horizontal="center"/>
    </xf>
    <xf numFmtId="39" fontId="10" fillId="0" borderId="8" xfId="0" applyFont="1" applyBorder="1" applyAlignment="1">
      <alignment horizontal="center"/>
    </xf>
    <xf numFmtId="39" fontId="8" fillId="0" borderId="3" xfId="0" applyFont="1" applyBorder="1" applyAlignment="1">
      <alignment horizontal="center"/>
    </xf>
    <xf numFmtId="166" fontId="10" fillId="0" borderId="0" xfId="1" applyNumberFormat="1" applyFont="1" applyBorder="1"/>
    <xf numFmtId="39" fontId="10" fillId="0" borderId="1" xfId="0" applyFont="1" applyBorder="1" applyAlignment="1">
      <alignment horizontal="center"/>
    </xf>
    <xf numFmtId="39" fontId="10" fillId="0" borderId="0" xfId="0" applyFont="1" applyBorder="1" applyAlignment="1">
      <alignment horizontal="center"/>
    </xf>
    <xf numFmtId="166" fontId="10" fillId="0" borderId="0" xfId="1" applyNumberFormat="1" applyFont="1" applyBorder="1" applyAlignment="1">
      <alignment horizontal="left" vertical="top"/>
    </xf>
    <xf numFmtId="39" fontId="10" fillId="0" borderId="0" xfId="0" applyFont="1" applyBorder="1" applyAlignment="1">
      <alignment horizontal="center" vertical="top"/>
    </xf>
    <xf numFmtId="166" fontId="9" fillId="0" borderId="0" xfId="1" applyNumberFormat="1" applyFont="1"/>
    <xf numFmtId="39" fontId="13" fillId="0" borderId="0" xfId="0" applyFont="1"/>
    <xf numFmtId="39" fontId="13" fillId="0" borderId="0" xfId="0" applyFont="1" applyAlignment="1">
      <alignment vertical="center"/>
    </xf>
    <xf numFmtId="166" fontId="15" fillId="0" borderId="9" xfId="1" applyNumberFormat="1" applyFont="1" applyBorder="1"/>
    <xf numFmtId="166" fontId="15" fillId="0" borderId="9" xfId="1" applyNumberFormat="1" applyFont="1" applyBorder="1" applyAlignment="1">
      <alignment horizontal="right"/>
    </xf>
    <xf numFmtId="166" fontId="13" fillId="0" borderId="9" xfId="1" applyNumberFormat="1" applyFont="1" applyBorder="1"/>
    <xf numFmtId="166" fontId="13" fillId="0" borderId="10" xfId="1" applyNumberFormat="1" applyFont="1" applyBorder="1"/>
    <xf numFmtId="166" fontId="13" fillId="0" borderId="7" xfId="1" applyNumberFormat="1" applyFont="1" applyBorder="1"/>
    <xf numFmtId="166" fontId="13" fillId="0" borderId="9" xfId="1" applyNumberFormat="1" applyFont="1" applyFill="1" applyBorder="1"/>
    <xf numFmtId="39" fontId="13" fillId="0" borderId="0" xfId="0" applyFont="1" applyFill="1"/>
    <xf numFmtId="166" fontId="13" fillId="0" borderId="0" xfId="1" applyNumberFormat="1" applyFont="1"/>
    <xf numFmtId="39" fontId="15" fillId="0" borderId="3" xfId="0" applyFont="1" applyBorder="1"/>
    <xf numFmtId="39" fontId="12" fillId="0" borderId="3" xfId="0" applyFont="1" applyBorder="1"/>
    <xf numFmtId="39" fontId="16" fillId="0" borderId="3" xfId="0" applyFont="1" applyBorder="1"/>
    <xf numFmtId="39" fontId="17" fillId="0" borderId="3" xfId="0" applyFont="1" applyBorder="1"/>
    <xf numFmtId="39" fontId="13" fillId="0" borderId="3" xfId="0" applyFont="1" applyBorder="1"/>
    <xf numFmtId="39" fontId="14" fillId="0" borderId="3" xfId="0" applyFont="1" applyBorder="1"/>
    <xf numFmtId="39" fontId="13" fillId="0" borderId="5" xfId="0" applyFont="1" applyBorder="1"/>
    <xf numFmtId="39" fontId="12" fillId="0" borderId="8" xfId="0" applyFont="1" applyBorder="1"/>
    <xf numFmtId="39" fontId="13" fillId="0" borderId="3" xfId="0" applyFont="1" applyFill="1" applyBorder="1"/>
    <xf numFmtId="39" fontId="14" fillId="0" borderId="8" xfId="0" applyFont="1" applyBorder="1"/>
    <xf numFmtId="39" fontId="17" fillId="0" borderId="8" xfId="0" applyFont="1" applyBorder="1"/>
    <xf numFmtId="166" fontId="13" fillId="0" borderId="0" xfId="0" applyNumberFormat="1" applyFont="1"/>
    <xf numFmtId="39" fontId="12" fillId="2" borderId="1" xfId="0" applyFont="1" applyFill="1" applyBorder="1"/>
    <xf numFmtId="39" fontId="12" fillId="0" borderId="3" xfId="0" applyFont="1" applyBorder="1" applyAlignment="1">
      <alignment wrapText="1"/>
    </xf>
    <xf numFmtId="39" fontId="8" fillId="0" borderId="11" xfId="0" quotePrefix="1" applyFont="1" applyBorder="1" applyAlignment="1">
      <alignment horizontal="left" vertical="center"/>
    </xf>
    <xf numFmtId="39" fontId="8" fillId="0" borderId="1" xfId="0" applyFont="1" applyBorder="1" applyAlignment="1">
      <alignment horizontal="center" vertical="center" wrapText="1"/>
    </xf>
    <xf numFmtId="166" fontId="8" fillId="0" borderId="1" xfId="1" applyNumberFormat="1" applyFont="1" applyBorder="1" applyAlignment="1">
      <alignment horizontal="center" vertical="center" wrapText="1"/>
    </xf>
    <xf numFmtId="39" fontId="10" fillId="0" borderId="5" xfId="0" applyFont="1" applyBorder="1" applyAlignment="1">
      <alignment horizontal="center"/>
    </xf>
    <xf numFmtId="39" fontId="10" fillId="0" borderId="10" xfId="0" applyFont="1" applyBorder="1" applyAlignment="1">
      <alignment horizontal="center"/>
    </xf>
    <xf numFmtId="39" fontId="8" fillId="0" borderId="0" xfId="0" quotePrefix="1" applyFont="1" applyBorder="1" applyAlignment="1">
      <alignment horizontal="left" vertical="top"/>
    </xf>
    <xf numFmtId="39" fontId="11" fillId="0" borderId="0" xfId="0" applyFont="1" applyBorder="1" applyAlignment="1">
      <alignment horizontal="center" vertical="center"/>
    </xf>
    <xf numFmtId="166" fontId="12" fillId="2" borderId="1" xfId="1" applyNumberFormat="1" applyFont="1" applyFill="1" applyBorder="1" applyAlignment="1">
      <alignment horizontal="center" vertical="justify" wrapText="1"/>
    </xf>
    <xf numFmtId="39" fontId="12" fillId="2" borderId="1" xfId="0" applyFont="1" applyFill="1" applyBorder="1" applyAlignment="1">
      <alignment vertical="center"/>
    </xf>
    <xf numFmtId="39" fontId="13" fillId="0" borderId="3" xfId="0" applyFont="1" applyBorder="1" applyAlignment="1">
      <alignment horizontal="left" indent="1"/>
    </xf>
    <xf numFmtId="167" fontId="13" fillId="0" borderId="3" xfId="0" applyNumberFormat="1" applyFont="1" applyBorder="1" applyAlignment="1">
      <alignment horizontal="left" indent="1"/>
    </xf>
    <xf numFmtId="168" fontId="18" fillId="0" borderId="3" xfId="0" applyNumberFormat="1" applyFont="1" applyBorder="1" applyAlignment="1">
      <alignment horizontal="right" vertical="center"/>
    </xf>
    <xf numFmtId="39" fontId="15" fillId="0" borderId="3" xfId="0" applyFont="1" applyBorder="1" applyAlignment="1">
      <alignment horizontal="left" indent="1"/>
    </xf>
    <xf numFmtId="39" fontId="9" fillId="0" borderId="3" xfId="0" applyFont="1" applyBorder="1"/>
    <xf numFmtId="39" fontId="10" fillId="0" borderId="5" xfId="0" applyFont="1" applyFill="1" applyBorder="1" applyAlignment="1">
      <alignment horizontal="center"/>
    </xf>
    <xf numFmtId="39" fontId="18" fillId="0" borderId="0" xfId="0" applyFont="1" applyAlignment="1">
      <alignment vertical="center"/>
    </xf>
    <xf numFmtId="39" fontId="18" fillId="0" borderId="1" xfId="0" applyFont="1" applyBorder="1" applyAlignment="1">
      <alignment horizontal="center" vertical="center"/>
    </xf>
    <xf numFmtId="39" fontId="18" fillId="0" borderId="0" xfId="0" applyFont="1" applyAlignment="1">
      <alignment horizontal="center" vertical="center"/>
    </xf>
    <xf numFmtId="39" fontId="18" fillId="0" borderId="3" xfId="0" applyFont="1" applyBorder="1" applyAlignment="1">
      <alignment horizontal="center" vertical="center"/>
    </xf>
    <xf numFmtId="39" fontId="19" fillId="0" borderId="3" xfId="0" applyFont="1" applyBorder="1" applyAlignment="1">
      <alignment vertical="center"/>
    </xf>
    <xf numFmtId="39" fontId="18" fillId="0" borderId="3" xfId="0" applyFont="1" applyBorder="1" applyAlignment="1">
      <alignment vertical="center"/>
    </xf>
    <xf numFmtId="4" fontId="18" fillId="0" borderId="3" xfId="0" applyNumberFormat="1" applyFont="1" applyBorder="1" applyAlignment="1">
      <alignment horizontal="right" vertical="center"/>
    </xf>
    <xf numFmtId="168" fontId="18" fillId="0" borderId="1" xfId="0" applyNumberFormat="1" applyFont="1" applyBorder="1" applyAlignment="1">
      <alignment horizontal="right" vertical="center"/>
    </xf>
    <xf numFmtId="168" fontId="18" fillId="0" borderId="0" xfId="0" applyNumberFormat="1" applyFont="1" applyAlignment="1">
      <alignment horizontal="right" vertical="center"/>
    </xf>
    <xf numFmtId="166" fontId="10" fillId="0" borderId="3" xfId="1" applyNumberFormat="1" applyFont="1" applyFill="1" applyBorder="1" applyAlignment="1">
      <alignment horizontal="center"/>
    </xf>
    <xf numFmtId="4" fontId="18" fillId="0" borderId="1" xfId="0" applyNumberFormat="1" applyFont="1" applyBorder="1" applyAlignment="1">
      <alignment horizontal="right" vertical="center"/>
    </xf>
    <xf numFmtId="39" fontId="18" fillId="0" borderId="0" xfId="0" applyFont="1" applyAlignment="1">
      <alignment horizontal="center" vertical="center"/>
    </xf>
    <xf numFmtId="166" fontId="10" fillId="0" borderId="3" xfId="1" applyNumberFormat="1" applyFont="1" applyBorder="1" applyAlignment="1">
      <alignment horizontal="center"/>
    </xf>
    <xf numFmtId="166" fontId="10" fillId="0" borderId="0" xfId="1" applyNumberFormat="1" applyFont="1" applyBorder="1" applyAlignment="1">
      <alignment horizontal="center"/>
    </xf>
    <xf numFmtId="37" fontId="18" fillId="0" borderId="3" xfId="0" applyNumberFormat="1" applyFont="1" applyBorder="1" applyAlignment="1">
      <alignment horizontal="center" vertical="center"/>
    </xf>
    <xf numFmtId="4" fontId="18" fillId="0" borderId="3" xfId="0" applyNumberFormat="1" applyFont="1" applyFill="1" applyBorder="1" applyAlignment="1">
      <alignment horizontal="right" vertical="center"/>
    </xf>
    <xf numFmtId="0" fontId="20" fillId="0" borderId="0" xfId="3" applyFont="1" applyAlignment="1">
      <alignment vertical="center"/>
    </xf>
    <xf numFmtId="168" fontId="20" fillId="0" borderId="0" xfId="3" applyNumberFormat="1" applyFont="1" applyAlignment="1">
      <alignment horizontal="right" vertical="center"/>
    </xf>
    <xf numFmtId="0" fontId="20" fillId="0" borderId="0" xfId="3" applyFont="1" applyAlignment="1">
      <alignment horizontal="center" vertical="center"/>
    </xf>
    <xf numFmtId="0" fontId="21" fillId="0" borderId="1" xfId="3" applyFont="1" applyFill="1" applyBorder="1" applyAlignment="1">
      <alignment horizontal="center" vertical="center"/>
    </xf>
    <xf numFmtId="168" fontId="21" fillId="0" borderId="1" xfId="3" applyNumberFormat="1" applyFont="1" applyFill="1" applyBorder="1" applyAlignment="1">
      <alignment horizontal="center" vertical="center"/>
    </xf>
    <xf numFmtId="0" fontId="21" fillId="0" borderId="3" xfId="3" applyFont="1" applyFill="1" applyBorder="1" applyAlignment="1">
      <alignment vertical="center"/>
    </xf>
    <xf numFmtId="168" fontId="20" fillId="0" borderId="3" xfId="3" applyNumberFormat="1" applyFont="1" applyFill="1" applyBorder="1" applyAlignment="1">
      <alignment horizontal="right" vertical="center"/>
    </xf>
    <xf numFmtId="0" fontId="20" fillId="0" borderId="3" xfId="3" applyFont="1" applyFill="1" applyBorder="1" applyAlignment="1">
      <alignment horizontal="center" vertical="center"/>
    </xf>
    <xf numFmtId="0" fontId="20" fillId="0" borderId="3" xfId="3" applyFont="1" applyFill="1" applyBorder="1" applyAlignment="1">
      <alignment vertical="center"/>
    </xf>
    <xf numFmtId="4" fontId="20" fillId="0" borderId="3" xfId="3" applyNumberFormat="1" applyFont="1" applyFill="1" applyBorder="1" applyAlignment="1">
      <alignment horizontal="right" vertical="center"/>
    </xf>
    <xf numFmtId="0" fontId="20" fillId="0" borderId="3" xfId="3" applyFont="1" applyBorder="1" applyAlignment="1">
      <alignment vertical="center"/>
    </xf>
    <xf numFmtId="168" fontId="20" fillId="0" borderId="3" xfId="3" applyNumberFormat="1" applyFont="1" applyBorder="1" applyAlignment="1">
      <alignment horizontal="right" vertical="center"/>
    </xf>
    <xf numFmtId="0" fontId="20" fillId="0" borderId="3" xfId="3" applyFont="1" applyBorder="1" applyAlignment="1">
      <alignment horizontal="center" vertical="center"/>
    </xf>
    <xf numFmtId="0" fontId="21" fillId="0" borderId="3" xfId="3" applyFont="1" applyBorder="1" applyAlignment="1">
      <alignment vertical="center"/>
    </xf>
    <xf numFmtId="4" fontId="20" fillId="0" borderId="3" xfId="3" applyNumberFormat="1" applyFont="1" applyBorder="1" applyAlignment="1">
      <alignment horizontal="right" vertical="center"/>
    </xf>
    <xf numFmtId="0" fontId="20" fillId="0" borderId="1" xfId="3" applyFont="1" applyBorder="1" applyAlignment="1">
      <alignment horizontal="center" vertical="center"/>
    </xf>
    <xf numFmtId="168" fontId="20" fillId="0" borderId="1" xfId="3" applyNumberFormat="1" applyFont="1" applyBorder="1" applyAlignment="1">
      <alignment horizontal="right" vertical="center"/>
    </xf>
    <xf numFmtId="4" fontId="20" fillId="0" borderId="1" xfId="3" applyNumberFormat="1" applyFont="1" applyBorder="1" applyAlignment="1">
      <alignment horizontal="right" vertical="center"/>
    </xf>
    <xf numFmtId="39" fontId="20" fillId="0" borderId="0" xfId="0" applyFont="1" applyAlignment="1">
      <alignment vertical="center"/>
    </xf>
    <xf numFmtId="39" fontId="20" fillId="0" borderId="0" xfId="0" applyFont="1" applyAlignment="1">
      <alignment horizontal="center" vertical="center"/>
    </xf>
    <xf numFmtId="39" fontId="21" fillId="0" borderId="1" xfId="0" applyFont="1" applyBorder="1" applyAlignment="1">
      <alignment horizontal="center" vertical="center"/>
    </xf>
    <xf numFmtId="168" fontId="21" fillId="0" borderId="1" xfId="0" applyNumberFormat="1" applyFont="1" applyBorder="1" applyAlignment="1">
      <alignment horizontal="center" vertical="center"/>
    </xf>
    <xf numFmtId="37" fontId="20" fillId="0" borderId="3" xfId="0" applyNumberFormat="1" applyFont="1" applyBorder="1" applyAlignment="1">
      <alignment horizontal="center" vertical="center"/>
    </xf>
    <xf numFmtId="39" fontId="21" fillId="0" borderId="3" xfId="0" applyFont="1" applyBorder="1" applyAlignment="1">
      <alignment vertical="center"/>
    </xf>
    <xf numFmtId="168" fontId="20" fillId="0" borderId="3" xfId="0" applyNumberFormat="1" applyFont="1" applyBorder="1" applyAlignment="1">
      <alignment horizontal="right" vertical="center"/>
    </xf>
    <xf numFmtId="39" fontId="20" fillId="0" borderId="3" xfId="0" applyFont="1" applyBorder="1" applyAlignment="1">
      <alignment horizontal="center" vertical="center"/>
    </xf>
    <xf numFmtId="39" fontId="20" fillId="0" borderId="3" xfId="0" applyFont="1" applyBorder="1" applyAlignment="1">
      <alignment vertical="center"/>
    </xf>
    <xf numFmtId="4" fontId="20" fillId="0" borderId="3" xfId="0" applyNumberFormat="1" applyFont="1" applyBorder="1" applyAlignment="1">
      <alignment horizontal="right" vertical="center"/>
    </xf>
    <xf numFmtId="4" fontId="20" fillId="0" borderId="3" xfId="0" applyNumberFormat="1" applyFont="1" applyFill="1" applyBorder="1" applyAlignment="1">
      <alignment horizontal="right" vertical="center"/>
    </xf>
    <xf numFmtId="37" fontId="10" fillId="0" borderId="5" xfId="0" applyNumberFormat="1" applyFont="1" applyBorder="1" applyAlignment="1">
      <alignment horizontal="center"/>
    </xf>
    <xf numFmtId="166" fontId="12" fillId="2" borderId="6" xfId="1" applyNumberFormat="1" applyFont="1" applyFill="1" applyBorder="1" applyAlignment="1">
      <alignment horizontal="center" vertical="center" wrapText="1"/>
    </xf>
    <xf numFmtId="166" fontId="13" fillId="0" borderId="10" xfId="1" applyNumberFormat="1" applyFont="1" applyFill="1" applyBorder="1"/>
    <xf numFmtId="39" fontId="2" fillId="0" borderId="0" xfId="0" applyFont="1"/>
    <xf numFmtId="39" fontId="5" fillId="0" borderId="8" xfId="0" applyFont="1" applyBorder="1" applyAlignment="1">
      <alignment horizontal="center" vertical="center"/>
    </xf>
    <xf numFmtId="39" fontId="5" fillId="0" borderId="5" xfId="0" applyFont="1" applyBorder="1" applyAlignment="1">
      <alignment horizontal="center" vertical="center"/>
    </xf>
    <xf numFmtId="39" fontId="5" fillId="0" borderId="1" xfId="0" applyFont="1" applyBorder="1" applyAlignment="1">
      <alignment horizontal="center" vertical="center"/>
    </xf>
    <xf numFmtId="39" fontId="5" fillId="0" borderId="1" xfId="0" applyFont="1" applyBorder="1" applyAlignment="1">
      <alignment horizontal="center"/>
    </xf>
    <xf numFmtId="39" fontId="4" fillId="0" borderId="1" xfId="0" applyFont="1" applyBorder="1"/>
    <xf numFmtId="39" fontId="5" fillId="0" borderId="1" xfId="0" applyFont="1" applyBorder="1"/>
    <xf numFmtId="166" fontId="4" fillId="0" borderId="1" xfId="1" applyNumberFormat="1" applyFont="1" applyBorder="1"/>
    <xf numFmtId="166" fontId="5" fillId="0" borderId="1" xfId="1" applyNumberFormat="1" applyFont="1" applyBorder="1" applyAlignment="1">
      <alignment vertical="center"/>
    </xf>
    <xf numFmtId="166" fontId="12" fillId="2" borderId="1" xfId="1" applyNumberFormat="1" applyFont="1" applyFill="1" applyBorder="1" applyAlignment="1">
      <alignment vertical="center"/>
    </xf>
    <xf numFmtId="166" fontId="12" fillId="2" borderId="6" xfId="1" applyNumberFormat="1" applyFont="1" applyFill="1" applyBorder="1" applyAlignment="1">
      <alignment vertical="center"/>
    </xf>
    <xf numFmtId="166" fontId="15" fillId="0" borderId="3" xfId="1" applyNumberFormat="1" applyFont="1" applyBorder="1"/>
    <xf numFmtId="166" fontId="12" fillId="0" borderId="3" xfId="1" applyNumberFormat="1" applyFont="1" applyBorder="1"/>
    <xf numFmtId="166" fontId="12" fillId="0" borderId="9" xfId="1" applyNumberFormat="1" applyFont="1" applyBorder="1"/>
    <xf numFmtId="166" fontId="15" fillId="0" borderId="9" xfId="1" applyNumberFormat="1" applyFont="1" applyFill="1" applyBorder="1"/>
    <xf numFmtId="166" fontId="16" fillId="0" borderId="3" xfId="1" applyNumberFormat="1" applyFont="1" applyBorder="1"/>
    <xf numFmtId="166" fontId="16" fillId="0" borderId="9" xfId="1" applyNumberFormat="1" applyFont="1" applyBorder="1"/>
    <xf numFmtId="166" fontId="17" fillId="0" borderId="3" xfId="1" applyNumberFormat="1" applyFont="1" applyBorder="1"/>
    <xf numFmtId="166" fontId="17" fillId="0" borderId="9" xfId="1" applyNumberFormat="1" applyFont="1" applyBorder="1"/>
    <xf numFmtId="166" fontId="13" fillId="0" borderId="3" xfId="1" applyNumberFormat="1" applyFont="1" applyBorder="1"/>
    <xf numFmtId="166" fontId="14" fillId="0" borderId="3" xfId="1" applyNumberFormat="1" applyFont="1" applyBorder="1"/>
    <xf numFmtId="166" fontId="14" fillId="0" borderId="9" xfId="1" applyNumberFormat="1" applyFont="1" applyBorder="1"/>
    <xf numFmtId="166" fontId="13" fillId="0" borderId="5" xfId="1" applyNumberFormat="1" applyFont="1" applyBorder="1"/>
    <xf numFmtId="166" fontId="12" fillId="0" borderId="8" xfId="1" applyNumberFormat="1" applyFont="1" applyBorder="1"/>
    <xf numFmtId="166" fontId="12" fillId="0" borderId="7" xfId="1" applyNumberFormat="1" applyFont="1" applyBorder="1"/>
    <xf numFmtId="166" fontId="13" fillId="0" borderId="3" xfId="1" applyNumberFormat="1" applyFont="1" applyFill="1" applyBorder="1"/>
    <xf numFmtId="166" fontId="14" fillId="0" borderId="8" xfId="1" applyNumberFormat="1" applyFont="1" applyBorder="1"/>
    <xf numFmtId="166" fontId="14" fillId="0" borderId="7" xfId="1" applyNumberFormat="1" applyFont="1" applyBorder="1"/>
    <xf numFmtId="166" fontId="13" fillId="0" borderId="8" xfId="1" applyNumberFormat="1" applyFont="1" applyBorder="1"/>
    <xf numFmtId="166" fontId="17" fillId="0" borderId="8" xfId="1" applyNumberFormat="1" applyFont="1" applyBorder="1"/>
    <xf numFmtId="166" fontId="17" fillId="0" borderId="7" xfId="1" applyNumberFormat="1" applyFont="1" applyBorder="1"/>
    <xf numFmtId="166" fontId="10" fillId="0" borderId="8" xfId="1" applyNumberFormat="1" applyFont="1" applyBorder="1" applyAlignment="1">
      <alignment horizontal="center"/>
    </xf>
    <xf numFmtId="166" fontId="4" fillId="0" borderId="0" xfId="1" applyNumberFormat="1" applyFont="1" applyBorder="1" applyAlignment="1">
      <alignment horizontal="center"/>
    </xf>
    <xf numFmtId="166" fontId="7" fillId="0" borderId="0" xfId="1" applyNumberFormat="1" applyFont="1" applyBorder="1" applyAlignment="1">
      <alignment horizontal="center" vertical="top"/>
    </xf>
    <xf numFmtId="166" fontId="4" fillId="0" borderId="0" xfId="1" applyNumberFormat="1" applyFont="1" applyBorder="1" applyAlignment="1">
      <alignment horizontal="center" vertical="top"/>
    </xf>
    <xf numFmtId="166" fontId="5" fillId="0" borderId="0" xfId="1" applyNumberFormat="1" applyFont="1" applyBorder="1" applyAlignment="1">
      <alignment horizontal="center" vertical="top"/>
    </xf>
    <xf numFmtId="166" fontId="12" fillId="2" borderId="1" xfId="1" applyNumberFormat="1" applyFont="1" applyFill="1" applyBorder="1"/>
    <xf numFmtId="166" fontId="12" fillId="0" borderId="3" xfId="1" applyNumberFormat="1" applyFont="1" applyBorder="1" applyAlignment="1">
      <alignment wrapText="1"/>
    </xf>
    <xf numFmtId="166" fontId="13" fillId="4" borderId="9" xfId="1" applyNumberFormat="1" applyFont="1" applyFill="1" applyBorder="1"/>
    <xf numFmtId="166" fontId="12" fillId="4" borderId="9" xfId="1" applyNumberFormat="1" applyFont="1" applyFill="1" applyBorder="1"/>
    <xf numFmtId="37" fontId="18" fillId="0" borderId="3" xfId="0" applyNumberFormat="1" applyFont="1" applyFill="1" applyBorder="1" applyAlignment="1">
      <alignment horizontal="center" vertical="center"/>
    </xf>
    <xf numFmtId="39" fontId="18" fillId="0" borderId="3" xfId="0" applyFont="1" applyFill="1" applyBorder="1" applyAlignment="1">
      <alignment vertical="center"/>
    </xf>
    <xf numFmtId="168" fontId="18" fillId="0" borderId="3" xfId="0" applyNumberFormat="1" applyFont="1" applyFill="1" applyBorder="1" applyAlignment="1">
      <alignment horizontal="right" vertical="center"/>
    </xf>
    <xf numFmtId="39" fontId="18" fillId="0" borderId="3" xfId="0" applyFont="1" applyFill="1" applyBorder="1" applyAlignment="1">
      <alignment horizontal="center" vertical="center"/>
    </xf>
    <xf numFmtId="39" fontId="18" fillId="0" borderId="0" xfId="0" applyFont="1" applyFill="1" applyAlignment="1">
      <alignment vertical="center"/>
    </xf>
    <xf numFmtId="4" fontId="20" fillId="0" borderId="0" xfId="3" applyNumberFormat="1" applyFont="1" applyAlignment="1">
      <alignment vertical="center"/>
    </xf>
    <xf numFmtId="169" fontId="22" fillId="0" borderId="1" xfId="1" applyNumberFormat="1" applyFont="1" applyBorder="1"/>
    <xf numFmtId="169" fontId="23" fillId="0" borderId="1" xfId="1" applyNumberFormat="1" applyFont="1" applyBorder="1" applyAlignment="1">
      <alignment vertical="center"/>
    </xf>
    <xf numFmtId="170" fontId="8" fillId="0" borderId="1" xfId="1" applyNumberFormat="1" applyFont="1" applyBorder="1" applyAlignment="1">
      <alignment horizontal="right"/>
    </xf>
    <xf numFmtId="170" fontId="10" fillId="0" borderId="3" xfId="1" applyNumberFormat="1" applyFont="1" applyBorder="1" applyAlignment="1">
      <alignment horizontal="right"/>
    </xf>
    <xf numFmtId="171" fontId="10" fillId="0" borderId="3" xfId="1" applyNumberFormat="1" applyFont="1" applyBorder="1" applyAlignment="1">
      <alignment horizontal="right"/>
    </xf>
    <xf numFmtId="171" fontId="8" fillId="0" borderId="1" xfId="1" applyNumberFormat="1" applyFont="1" applyBorder="1" applyAlignment="1">
      <alignment horizontal="right"/>
    </xf>
    <xf numFmtId="171" fontId="8" fillId="0" borderId="5" xfId="1" applyNumberFormat="1" applyFont="1" applyBorder="1" applyAlignment="1">
      <alignment horizontal="right"/>
    </xf>
    <xf numFmtId="39" fontId="24" fillId="0" borderId="13" xfId="0" applyFont="1" applyBorder="1" applyAlignment="1">
      <alignment horizontal="right" vertical="top" wrapText="1"/>
    </xf>
    <xf numFmtId="39" fontId="24" fillId="0" borderId="14" xfId="0" applyFont="1" applyBorder="1" applyAlignment="1">
      <alignment horizontal="right" vertical="top" wrapText="1"/>
    </xf>
    <xf numFmtId="39" fontId="25" fillId="0" borderId="14" xfId="0" applyFont="1" applyBorder="1" applyAlignment="1">
      <alignment horizontal="right" vertical="top" wrapText="1"/>
    </xf>
    <xf numFmtId="171" fontId="10" fillId="4" borderId="3" xfId="1" applyNumberFormat="1" applyFont="1" applyFill="1" applyBorder="1" applyAlignment="1">
      <alignment horizontal="right"/>
    </xf>
    <xf numFmtId="172" fontId="10" fillId="4" borderId="3" xfId="1" applyNumberFormat="1" applyFont="1" applyFill="1" applyBorder="1" applyAlignment="1">
      <alignment horizontal="right"/>
    </xf>
    <xf numFmtId="164" fontId="10" fillId="4" borderId="3" xfId="1" applyFont="1" applyFill="1" applyBorder="1" applyAlignment="1">
      <alignment horizontal="right"/>
    </xf>
    <xf numFmtId="171" fontId="8" fillId="4" borderId="3" xfId="1" applyNumberFormat="1" applyFont="1" applyFill="1" applyBorder="1" applyAlignment="1">
      <alignment horizontal="right"/>
    </xf>
    <xf numFmtId="166" fontId="10" fillId="4" borderId="3" xfId="1" applyNumberFormat="1" applyFont="1" applyFill="1" applyBorder="1" applyAlignment="1">
      <alignment horizontal="center"/>
    </xf>
    <xf numFmtId="166" fontId="10" fillId="4" borderId="5" xfId="1" applyNumberFormat="1" applyFont="1" applyFill="1" applyBorder="1" applyAlignment="1">
      <alignment horizontal="center"/>
    </xf>
    <xf numFmtId="39" fontId="13" fillId="0" borderId="4" xfId="0" applyFont="1" applyBorder="1"/>
    <xf numFmtId="39" fontId="17" fillId="0" borderId="4" xfId="0" applyFont="1" applyBorder="1"/>
    <xf numFmtId="39" fontId="8" fillId="0" borderId="8" xfId="0" applyFont="1" applyBorder="1" applyAlignment="1">
      <alignment horizontal="center" vertical="center" wrapText="1"/>
    </xf>
    <xf numFmtId="171" fontId="8" fillId="0" borderId="3" xfId="1" applyNumberFormat="1" applyFont="1" applyBorder="1" applyAlignment="1">
      <alignment horizontal="right"/>
    </xf>
    <xf numFmtId="39" fontId="10" fillId="0" borderId="15" xfId="0" applyFont="1" applyBorder="1" applyAlignment="1">
      <alignment horizontal="center"/>
    </xf>
    <xf numFmtId="166" fontId="8" fillId="0" borderId="0" xfId="1" applyNumberFormat="1" applyFont="1" applyBorder="1" applyAlignment="1">
      <alignment horizontal="center"/>
    </xf>
    <xf numFmtId="166" fontId="8" fillId="0" borderId="0" xfId="1" applyNumberFormat="1" applyFont="1" applyBorder="1" applyAlignment="1">
      <alignment horizontal="center" vertical="center"/>
    </xf>
    <xf numFmtId="39" fontId="4" fillId="0" borderId="0" xfId="0" applyFont="1" applyBorder="1"/>
    <xf numFmtId="172" fontId="10" fillId="0" borderId="3" xfId="1" applyNumberFormat="1" applyFont="1" applyBorder="1" applyAlignment="1">
      <alignment horizontal="right"/>
    </xf>
    <xf numFmtId="171" fontId="15" fillId="0" borderId="3" xfId="1" applyNumberFormat="1" applyFont="1" applyBorder="1" applyAlignment="1">
      <alignment horizontal="right"/>
    </xf>
    <xf numFmtId="164" fontId="15" fillId="0" borderId="3" xfId="1" applyFont="1" applyBorder="1" applyAlignment="1">
      <alignment horizontal="right"/>
    </xf>
    <xf numFmtId="171" fontId="15" fillId="0" borderId="5" xfId="1" applyNumberFormat="1" applyFont="1" applyBorder="1" applyAlignment="1">
      <alignment horizontal="right"/>
    </xf>
    <xf numFmtId="171" fontId="15" fillId="0" borderId="16" xfId="1" applyNumberFormat="1" applyFont="1" applyBorder="1" applyAlignment="1">
      <alignment horizontal="right"/>
    </xf>
    <xf numFmtId="171" fontId="12" fillId="0" borderId="16" xfId="1" applyNumberFormat="1" applyFont="1" applyBorder="1" applyAlignment="1">
      <alignment horizontal="right"/>
    </xf>
    <xf numFmtId="172" fontId="15" fillId="0" borderId="3" xfId="1" applyNumberFormat="1" applyFont="1" applyBorder="1" applyAlignment="1">
      <alignment horizontal="right"/>
    </xf>
    <xf numFmtId="166" fontId="15" fillId="0" borderId="3" xfId="1" applyNumberFormat="1" applyFont="1" applyBorder="1" applyAlignment="1">
      <alignment horizontal="right"/>
    </xf>
    <xf numFmtId="172" fontId="15" fillId="0" borderId="5" xfId="1" applyNumberFormat="1" applyFont="1" applyBorder="1" applyAlignment="1">
      <alignment horizontal="right"/>
    </xf>
    <xf numFmtId="173" fontId="15" fillId="0" borderId="3" xfId="1" applyNumberFormat="1" applyFont="1" applyBorder="1" applyAlignment="1">
      <alignment horizontal="right"/>
    </xf>
    <xf numFmtId="166" fontId="13" fillId="0" borderId="9" xfId="1" applyNumberFormat="1" applyFont="1" applyBorder="1" applyAlignment="1"/>
    <xf numFmtId="164" fontId="15" fillId="0" borderId="5" xfId="1" applyFont="1" applyBorder="1" applyAlignment="1">
      <alignment horizontal="right"/>
    </xf>
    <xf numFmtId="171" fontId="13" fillId="0" borderId="9" xfId="1" applyNumberFormat="1" applyFont="1" applyBorder="1"/>
    <xf numFmtId="171" fontId="13" fillId="0" borderId="5" xfId="1" applyNumberFormat="1" applyFont="1" applyBorder="1"/>
    <xf numFmtId="172" fontId="13" fillId="0" borderId="3" xfId="1" applyNumberFormat="1" applyFont="1" applyBorder="1"/>
    <xf numFmtId="171" fontId="13" fillId="0" borderId="3" xfId="1" applyNumberFormat="1" applyFont="1" applyBorder="1"/>
    <xf numFmtId="166" fontId="13" fillId="0" borderId="0" xfId="1" applyNumberFormat="1" applyFont="1" applyBorder="1"/>
    <xf numFmtId="39" fontId="14" fillId="0" borderId="4" xfId="0" applyFont="1" applyBorder="1"/>
    <xf numFmtId="171" fontId="14" fillId="0" borderId="16" xfId="1" applyNumberFormat="1" applyFont="1" applyBorder="1"/>
    <xf numFmtId="164" fontId="13" fillId="0" borderId="9" xfId="1" applyFont="1" applyBorder="1"/>
    <xf numFmtId="172" fontId="13" fillId="0" borderId="9" xfId="1" applyNumberFormat="1" applyFont="1" applyBorder="1"/>
    <xf numFmtId="171" fontId="14" fillId="0" borderId="0" xfId="1" applyNumberFormat="1" applyFont="1" applyBorder="1"/>
    <xf numFmtId="171" fontId="14" fillId="0" borderId="8" xfId="1" applyNumberFormat="1" applyFont="1" applyBorder="1"/>
    <xf numFmtId="171" fontId="14" fillId="0" borderId="1" xfId="1" applyNumberFormat="1" applyFont="1" applyBorder="1"/>
    <xf numFmtId="172" fontId="14" fillId="0" borderId="1" xfId="1" applyNumberFormat="1" applyFont="1" applyBorder="1"/>
    <xf numFmtId="172" fontId="14" fillId="0" borderId="16" xfId="1" applyNumberFormat="1" applyFont="1" applyBorder="1"/>
    <xf numFmtId="173" fontId="13" fillId="0" borderId="9" xfId="1" applyNumberFormat="1" applyFont="1" applyBorder="1"/>
    <xf numFmtId="174" fontId="13" fillId="0" borderId="9" xfId="1" applyNumberFormat="1" applyFont="1" applyBorder="1"/>
    <xf numFmtId="174" fontId="13" fillId="0" borderId="5" xfId="1" applyNumberFormat="1" applyFont="1" applyBorder="1"/>
    <xf numFmtId="166" fontId="14" fillId="0" borderId="1" xfId="1" applyNumberFormat="1" applyFont="1" applyBorder="1"/>
    <xf numFmtId="171" fontId="13" fillId="0" borderId="3" xfId="1" applyNumberFormat="1" applyFont="1" applyBorder="1" applyAlignment="1">
      <alignment horizontal="right"/>
    </xf>
    <xf numFmtId="172" fontId="13" fillId="0" borderId="3" xfId="1" applyNumberFormat="1" applyFont="1" applyBorder="1" applyAlignment="1">
      <alignment horizontal="right"/>
    </xf>
    <xf numFmtId="171" fontId="14" fillId="0" borderId="16" xfId="1" applyNumberFormat="1" applyFont="1" applyBorder="1" applyAlignment="1">
      <alignment horizontal="right"/>
    </xf>
    <xf numFmtId="164" fontId="13" fillId="0" borderId="3" xfId="1" applyFont="1" applyBorder="1" applyAlignment="1">
      <alignment horizontal="right"/>
    </xf>
    <xf numFmtId="169" fontId="22" fillId="0" borderId="1" xfId="1" applyNumberFormat="1" applyFont="1" applyFill="1" applyBorder="1"/>
    <xf numFmtId="171" fontId="15" fillId="0" borderId="9" xfId="1" applyNumberFormat="1" applyFont="1" applyBorder="1" applyAlignment="1">
      <alignment horizontal="right"/>
    </xf>
    <xf numFmtId="171" fontId="15" fillId="0" borderId="3" xfId="1" applyNumberFormat="1" applyFont="1" applyFill="1" applyBorder="1" applyAlignment="1">
      <alignment horizontal="right"/>
    </xf>
    <xf numFmtId="171" fontId="13" fillId="0" borderId="3" xfId="1" applyNumberFormat="1" applyFont="1" applyFill="1" applyBorder="1" applyAlignment="1">
      <alignment horizontal="right"/>
    </xf>
    <xf numFmtId="39" fontId="17" fillId="0" borderId="3" xfId="0" applyFont="1" applyFill="1" applyBorder="1"/>
    <xf numFmtId="164" fontId="13" fillId="0" borderId="3" xfId="1" applyFont="1" applyFill="1" applyBorder="1" applyAlignment="1">
      <alignment horizontal="right"/>
    </xf>
    <xf numFmtId="172" fontId="15" fillId="0" borderId="3" xfId="1" applyNumberFormat="1" applyFont="1" applyFill="1" applyBorder="1" applyAlignment="1">
      <alignment horizontal="right"/>
    </xf>
    <xf numFmtId="171" fontId="15" fillId="0" borderId="1" xfId="1" applyNumberFormat="1" applyFont="1" applyFill="1" applyBorder="1" applyAlignment="1">
      <alignment horizontal="right"/>
    </xf>
    <xf numFmtId="172" fontId="15" fillId="0" borderId="1" xfId="1" applyNumberFormat="1" applyFont="1" applyFill="1" applyBorder="1" applyAlignment="1">
      <alignment horizontal="right"/>
    </xf>
    <xf numFmtId="164" fontId="15" fillId="0" borderId="3" xfId="1" applyFont="1" applyFill="1" applyBorder="1" applyAlignment="1">
      <alignment horizontal="right"/>
    </xf>
    <xf numFmtId="164" fontId="15" fillId="0" borderId="5" xfId="1" applyFont="1" applyFill="1" applyBorder="1" applyAlignment="1">
      <alignment horizontal="right"/>
    </xf>
    <xf numFmtId="166" fontId="13" fillId="0" borderId="8" xfId="1" applyNumberFormat="1" applyFont="1" applyFill="1" applyBorder="1"/>
    <xf numFmtId="166" fontId="13" fillId="0" borderId="5" xfId="1" applyNumberFormat="1" applyFont="1" applyFill="1" applyBorder="1"/>
    <xf numFmtId="164" fontId="13" fillId="0" borderId="9" xfId="1" applyNumberFormat="1" applyFont="1" applyBorder="1"/>
    <xf numFmtId="171" fontId="15" fillId="4" borderId="3" xfId="1" applyNumberFormat="1" applyFont="1" applyFill="1" applyBorder="1" applyAlignment="1">
      <alignment horizontal="right"/>
    </xf>
    <xf numFmtId="171" fontId="15" fillId="4" borderId="1" xfId="1" applyNumberFormat="1" applyFont="1" applyFill="1" applyBorder="1" applyAlignment="1">
      <alignment horizontal="right"/>
    </xf>
    <xf numFmtId="164" fontId="15" fillId="4" borderId="3" xfId="1" applyFont="1" applyFill="1" applyBorder="1" applyAlignment="1">
      <alignment horizontal="right"/>
    </xf>
    <xf numFmtId="4" fontId="20" fillId="5" borderId="3" xfId="0" applyNumberFormat="1" applyFont="1" applyFill="1" applyBorder="1" applyAlignment="1">
      <alignment horizontal="right" vertical="center"/>
    </xf>
    <xf numFmtId="4" fontId="18" fillId="4" borderId="3" xfId="0" applyNumberFormat="1" applyFont="1" applyFill="1" applyBorder="1" applyAlignment="1">
      <alignment horizontal="right" vertical="center"/>
    </xf>
    <xf numFmtId="39" fontId="15" fillId="0" borderId="0" xfId="0" applyFont="1" applyBorder="1"/>
    <xf numFmtId="171" fontId="15" fillId="0" borderId="17" xfId="1" applyNumberFormat="1" applyFont="1" applyBorder="1" applyAlignment="1">
      <alignment horizontal="right"/>
    </xf>
    <xf numFmtId="37" fontId="2" fillId="0" borderId="0" xfId="0" applyNumberFormat="1" applyFont="1"/>
    <xf numFmtId="0" fontId="20" fillId="4" borderId="3" xfId="3" applyFont="1" applyFill="1" applyBorder="1" applyAlignment="1">
      <alignment vertical="center"/>
    </xf>
    <xf numFmtId="4" fontId="20" fillId="4" borderId="3" xfId="3" applyNumberFormat="1" applyFont="1" applyFill="1" applyBorder="1" applyAlignment="1">
      <alignment horizontal="right" vertical="center"/>
    </xf>
    <xf numFmtId="168" fontId="20" fillId="4" borderId="3" xfId="3" applyNumberFormat="1" applyFont="1" applyFill="1" applyBorder="1" applyAlignment="1">
      <alignment horizontal="right" vertical="center"/>
    </xf>
    <xf numFmtId="0" fontId="20" fillId="4" borderId="3" xfId="3" applyFont="1" applyFill="1" applyBorder="1" applyAlignment="1">
      <alignment horizontal="center" vertical="center"/>
    </xf>
    <xf numFmtId="0" fontId="20" fillId="4" borderId="0" xfId="3" applyFont="1" applyFill="1" applyAlignment="1">
      <alignment vertical="center"/>
    </xf>
    <xf numFmtId="4" fontId="20" fillId="4" borderId="0" xfId="3" applyNumberFormat="1" applyFont="1" applyFill="1" applyBorder="1" applyAlignment="1">
      <alignment horizontal="right" vertical="center"/>
    </xf>
    <xf numFmtId="39" fontId="13" fillId="4" borderId="3" xfId="0" applyFont="1" applyFill="1" applyBorder="1"/>
    <xf numFmtId="166" fontId="13" fillId="4" borderId="3" xfId="1" applyNumberFormat="1" applyFont="1" applyFill="1" applyBorder="1"/>
    <xf numFmtId="172" fontId="13" fillId="4" borderId="3" xfId="1" applyNumberFormat="1" applyFont="1" applyFill="1" applyBorder="1" applyAlignment="1">
      <alignment horizontal="right"/>
    </xf>
    <xf numFmtId="39" fontId="13" fillId="4" borderId="0" xfId="0" applyFont="1" applyFill="1"/>
    <xf numFmtId="164" fontId="13" fillId="0" borderId="3" xfId="1" applyFont="1" applyBorder="1"/>
    <xf numFmtId="173" fontId="13" fillId="0" borderId="3" xfId="1" applyNumberFormat="1" applyFont="1" applyBorder="1" applyAlignment="1">
      <alignment horizontal="right"/>
    </xf>
    <xf numFmtId="4" fontId="18" fillId="5" borderId="3" xfId="0" applyNumberFormat="1" applyFont="1" applyFill="1" applyBorder="1" applyAlignment="1">
      <alignment horizontal="right" vertical="center"/>
    </xf>
    <xf numFmtId="39" fontId="27" fillId="0" borderId="0" xfId="0" applyFont="1"/>
    <xf numFmtId="39" fontId="13" fillId="0" borderId="0" xfId="0" applyFont="1" applyBorder="1"/>
    <xf numFmtId="39" fontId="14" fillId="0" borderId="0" xfId="0" applyFont="1"/>
    <xf numFmtId="39" fontId="14" fillId="0" borderId="5" xfId="0" applyFont="1" applyBorder="1"/>
    <xf numFmtId="166" fontId="14" fillId="0" borderId="5" xfId="1" applyNumberFormat="1" applyFont="1" applyBorder="1"/>
    <xf numFmtId="166" fontId="14" fillId="0" borderId="10" xfId="1" applyNumberFormat="1" applyFont="1" applyBorder="1"/>
    <xf numFmtId="172" fontId="14" fillId="0" borderId="9" xfId="1" applyNumberFormat="1" applyFont="1" applyBorder="1"/>
    <xf numFmtId="39" fontId="8" fillId="0" borderId="0" xfId="0" applyFont="1" applyBorder="1" applyAlignment="1">
      <alignment horizontal="center"/>
    </xf>
    <xf numFmtId="39" fontId="8" fillId="0" borderId="0" xfId="0" applyFont="1" applyBorder="1" applyAlignment="1">
      <alignment horizontal="center" vertical="center"/>
    </xf>
    <xf numFmtId="39" fontId="10" fillId="0" borderId="18" xfId="0" applyFont="1" applyBorder="1"/>
    <xf numFmtId="39" fontId="10" fillId="0" borderId="19" xfId="0" applyFont="1" applyBorder="1" applyAlignment="1">
      <alignment horizontal="center"/>
    </xf>
    <xf numFmtId="166" fontId="10" fillId="0" borderId="20" xfId="1" applyNumberFormat="1" applyFont="1" applyBorder="1"/>
    <xf numFmtId="39" fontId="8" fillId="0" borderId="21" xfId="0" applyFont="1" applyBorder="1" applyAlignment="1">
      <alignment horizontal="center"/>
    </xf>
    <xf numFmtId="39" fontId="8" fillId="0" borderId="22" xfId="0" applyFont="1" applyBorder="1" applyAlignment="1">
      <alignment horizontal="center"/>
    </xf>
    <xf numFmtId="39" fontId="8" fillId="0" borderId="23" xfId="0" quotePrefix="1" applyFont="1" applyBorder="1" applyAlignment="1">
      <alignment horizontal="left" vertical="center"/>
    </xf>
    <xf numFmtId="166" fontId="8" fillId="0" borderId="24" xfId="1" applyNumberFormat="1" applyFont="1" applyBorder="1" applyAlignment="1">
      <alignment horizontal="left" vertical="center"/>
    </xf>
    <xf numFmtId="39" fontId="8" fillId="0" borderId="25" xfId="0" applyFont="1" applyBorder="1" applyAlignment="1">
      <alignment horizontal="center" vertical="center"/>
    </xf>
    <xf numFmtId="166" fontId="8" fillId="0" borderId="26" xfId="1" applyNumberFormat="1" applyFont="1" applyBorder="1" applyAlignment="1">
      <alignment horizontal="center" vertical="center" wrapText="1"/>
    </xf>
    <xf numFmtId="39" fontId="8" fillId="0" borderId="21" xfId="0" applyFont="1" applyBorder="1" applyAlignment="1">
      <alignment horizontal="center" vertical="center"/>
    </xf>
    <xf numFmtId="166" fontId="8" fillId="0" borderId="27" xfId="1" applyNumberFormat="1" applyFont="1" applyBorder="1" applyAlignment="1">
      <alignment horizontal="center" vertical="center" wrapText="1"/>
    </xf>
    <xf numFmtId="39" fontId="8" fillId="0" borderId="21" xfId="0" applyFont="1" applyBorder="1"/>
    <xf numFmtId="166" fontId="10" fillId="0" borderId="28" xfId="1" applyNumberFormat="1" applyFont="1" applyBorder="1"/>
    <xf numFmtId="39" fontId="10" fillId="0" borderId="21" xfId="0" applyFont="1" applyBorder="1"/>
    <xf numFmtId="171" fontId="10" fillId="0" borderId="28" xfId="1" applyNumberFormat="1" applyFont="1" applyBorder="1" applyAlignment="1">
      <alignment horizontal="right"/>
    </xf>
    <xf numFmtId="171" fontId="10" fillId="0" borderId="29" xfId="1" applyNumberFormat="1" applyFont="1" applyBorder="1" applyAlignment="1">
      <alignment horizontal="right"/>
    </xf>
    <xf numFmtId="171" fontId="8" fillId="0" borderId="26" xfId="1" applyNumberFormat="1" applyFont="1" applyBorder="1" applyAlignment="1">
      <alignment horizontal="right"/>
    </xf>
    <xf numFmtId="39" fontId="10" fillId="0" borderId="30" xfId="0" applyFont="1" applyBorder="1"/>
    <xf numFmtId="166" fontId="10" fillId="0" borderId="27" xfId="1" applyNumberFormat="1" applyFont="1" applyBorder="1"/>
    <xf numFmtId="39" fontId="8" fillId="0" borderId="31" xfId="0" applyFont="1" applyBorder="1"/>
    <xf numFmtId="39" fontId="10" fillId="0" borderId="31" xfId="0" applyFont="1" applyBorder="1"/>
    <xf numFmtId="172" fontId="10" fillId="0" borderId="28" xfId="1" applyNumberFormat="1" applyFont="1" applyBorder="1" applyAlignment="1">
      <alignment horizontal="right"/>
    </xf>
    <xf numFmtId="39" fontId="10" fillId="0" borderId="32" xfId="0" applyFont="1" applyBorder="1"/>
    <xf numFmtId="39" fontId="26" fillId="0" borderId="33" xfId="0" applyFont="1" applyFill="1" applyBorder="1" applyAlignment="1">
      <alignment horizontal="left" vertical="center"/>
    </xf>
    <xf numFmtId="166" fontId="8" fillId="0" borderId="34" xfId="1" applyNumberFormat="1" applyFont="1" applyBorder="1"/>
    <xf numFmtId="39" fontId="10" fillId="0" borderId="21" xfId="0" applyFont="1" applyFill="1" applyBorder="1" applyAlignment="1">
      <alignment horizontal="left" vertical="center"/>
    </xf>
    <xf numFmtId="166" fontId="8" fillId="0" borderId="22" xfId="1" applyNumberFormat="1" applyFont="1" applyBorder="1"/>
    <xf numFmtId="39" fontId="6" fillId="0" borderId="21" xfId="0" applyFont="1" applyBorder="1" applyAlignment="1">
      <alignment horizontal="left" vertical="center"/>
    </xf>
    <xf numFmtId="166" fontId="4" fillId="0" borderId="22" xfId="1" applyNumberFormat="1" applyFont="1" applyBorder="1"/>
    <xf numFmtId="39" fontId="4" fillId="0" borderId="21" xfId="0" applyFont="1" applyBorder="1" applyAlignment="1">
      <alignment horizontal="left" vertical="center"/>
    </xf>
    <xf numFmtId="39" fontId="4" fillId="0" borderId="21" xfId="0" applyFont="1" applyFill="1" applyBorder="1" applyAlignment="1">
      <alignment horizontal="left" vertical="top"/>
    </xf>
    <xf numFmtId="39" fontId="5" fillId="0" borderId="21" xfId="0" applyFont="1" applyFill="1" applyBorder="1" applyAlignment="1">
      <alignment horizontal="left" vertical="top"/>
    </xf>
    <xf numFmtId="39" fontId="7" fillId="0" borderId="21" xfId="0" applyFont="1" applyFill="1" applyBorder="1" applyAlignment="1">
      <alignment horizontal="left" vertical="center"/>
    </xf>
    <xf numFmtId="166" fontId="5" fillId="0" borderId="22" xfId="1" applyNumberFormat="1" applyFont="1" applyBorder="1"/>
    <xf numFmtId="39" fontId="4" fillId="0" borderId="21" xfId="0" applyFont="1" applyFill="1" applyBorder="1"/>
    <xf numFmtId="39" fontId="4" fillId="0" borderId="22" xfId="0" applyFont="1" applyBorder="1"/>
    <xf numFmtId="166" fontId="10" fillId="0" borderId="22" xfId="1" applyNumberFormat="1" applyFont="1" applyBorder="1"/>
    <xf numFmtId="39" fontId="5" fillId="0" borderId="21" xfId="0" applyFont="1" applyFill="1" applyBorder="1"/>
    <xf numFmtId="39" fontId="5" fillId="0" borderId="22" xfId="0" applyFont="1" applyBorder="1" applyAlignment="1">
      <alignment horizontal="left"/>
    </xf>
    <xf numFmtId="166" fontId="4" fillId="0" borderId="22" xfId="1" applyNumberFormat="1" applyFont="1" applyBorder="1" applyAlignment="1">
      <alignment horizontal="left" vertical="top"/>
    </xf>
    <xf numFmtId="166" fontId="5" fillId="0" borderId="22" xfId="1" applyNumberFormat="1" applyFont="1" applyBorder="1" applyAlignment="1">
      <alignment horizontal="left" vertical="top"/>
    </xf>
    <xf numFmtId="39" fontId="4" fillId="0" borderId="21" xfId="0" applyFont="1" applyBorder="1" applyAlignment="1">
      <alignment horizontal="left" vertical="top"/>
    </xf>
    <xf numFmtId="39" fontId="5" fillId="0" borderId="21" xfId="0" applyFont="1" applyBorder="1" applyAlignment="1">
      <alignment horizontal="left" vertical="top"/>
    </xf>
    <xf numFmtId="166" fontId="5" fillId="0" borderId="22" xfId="1" applyNumberFormat="1" applyFont="1" applyBorder="1" applyAlignment="1">
      <alignment vertical="top"/>
    </xf>
    <xf numFmtId="39" fontId="4" fillId="0" borderId="21" xfId="0" applyFont="1" applyBorder="1"/>
    <xf numFmtId="39" fontId="7" fillId="0" borderId="21" xfId="0" applyFont="1" applyBorder="1" applyAlignment="1">
      <alignment horizontal="left" vertical="top"/>
    </xf>
    <xf numFmtId="39" fontId="9" fillId="0" borderId="18" xfId="0" applyFont="1" applyBorder="1"/>
    <xf numFmtId="39" fontId="9" fillId="0" borderId="19" xfId="0" applyFont="1" applyBorder="1"/>
    <xf numFmtId="166" fontId="9" fillId="0" borderId="19" xfId="1" applyNumberFormat="1" applyFont="1" applyBorder="1"/>
    <xf numFmtId="166" fontId="9" fillId="0" borderId="20" xfId="1" applyNumberFormat="1" applyFont="1" applyBorder="1"/>
    <xf numFmtId="166" fontId="8" fillId="0" borderId="22" xfId="1" applyNumberFormat="1" applyFont="1" applyBorder="1" applyAlignment="1">
      <alignment horizontal="center"/>
    </xf>
    <xf numFmtId="166" fontId="10" fillId="0" borderId="22" xfId="1" applyNumberFormat="1" applyFont="1" applyBorder="1" applyAlignment="1">
      <alignment horizontal="center"/>
    </xf>
    <xf numFmtId="39" fontId="8" fillId="3" borderId="25" xfId="0" applyFont="1" applyFill="1" applyBorder="1" applyAlignment="1">
      <alignment horizontal="center" vertical="center"/>
    </xf>
    <xf numFmtId="166" fontId="8" fillId="3" borderId="26" xfId="1" quotePrefix="1" applyNumberFormat="1" applyFont="1" applyFill="1" applyBorder="1" applyAlignment="1">
      <alignment horizontal="center" vertical="justify" wrapText="1"/>
    </xf>
    <xf numFmtId="39" fontId="8" fillId="0" borderId="30" xfId="0" applyFont="1" applyBorder="1"/>
    <xf numFmtId="170" fontId="10" fillId="0" borderId="28" xfId="1" applyNumberFormat="1" applyFont="1" applyBorder="1" applyAlignment="1">
      <alignment horizontal="right"/>
    </xf>
    <xf numFmtId="166" fontId="10" fillId="0" borderId="29" xfId="1" applyNumberFormat="1" applyFont="1" applyBorder="1"/>
    <xf numFmtId="166" fontId="8" fillId="0" borderId="26" xfId="1" applyNumberFormat="1" applyFont="1" applyBorder="1" applyAlignment="1">
      <alignment horizontal="center"/>
    </xf>
    <xf numFmtId="171" fontId="10" fillId="4" borderId="28" xfId="1" applyNumberFormat="1" applyFont="1" applyFill="1" applyBorder="1" applyAlignment="1">
      <alignment horizontal="right"/>
    </xf>
    <xf numFmtId="39" fontId="5" fillId="0" borderId="31" xfId="0" applyFont="1" applyBorder="1"/>
    <xf numFmtId="172" fontId="10" fillId="4" borderId="28" xfId="1" applyNumberFormat="1" applyFont="1" applyFill="1" applyBorder="1" applyAlignment="1">
      <alignment horizontal="right"/>
    </xf>
    <xf numFmtId="39" fontId="10" fillId="0" borderId="32" xfId="0" applyFont="1" applyFill="1" applyBorder="1"/>
    <xf numFmtId="166" fontId="10" fillId="0" borderId="29" xfId="1" applyNumberFormat="1" applyFont="1" applyFill="1" applyBorder="1"/>
    <xf numFmtId="39" fontId="8" fillId="0" borderId="25" xfId="0" applyFont="1" applyFill="1" applyBorder="1" applyAlignment="1">
      <alignment horizontal="center"/>
    </xf>
    <xf numFmtId="171" fontId="8" fillId="4" borderId="28" xfId="1" applyNumberFormat="1" applyFont="1" applyFill="1" applyBorder="1" applyAlignment="1">
      <alignment horizontal="right"/>
    </xf>
    <xf numFmtId="166" fontId="10" fillId="4" borderId="28" xfId="1" applyNumberFormat="1" applyFont="1" applyFill="1" applyBorder="1"/>
    <xf numFmtId="164" fontId="10" fillId="4" borderId="28" xfId="1" applyFont="1" applyFill="1" applyBorder="1" applyAlignment="1">
      <alignment horizontal="right"/>
    </xf>
    <xf numFmtId="39" fontId="8" fillId="0" borderId="25" xfId="0" applyFont="1" applyBorder="1" applyAlignment="1">
      <alignment vertical="center"/>
    </xf>
    <xf numFmtId="39" fontId="8" fillId="0" borderId="21" xfId="0" applyFont="1" applyBorder="1" applyAlignment="1">
      <alignment vertical="center"/>
    </xf>
    <xf numFmtId="39" fontId="6" fillId="0" borderId="21" xfId="0" applyFont="1" applyFill="1" applyBorder="1" applyAlignment="1">
      <alignment horizontal="left" vertical="center"/>
    </xf>
    <xf numFmtId="39" fontId="4" fillId="0" borderId="21" xfId="0" applyFont="1" applyFill="1" applyBorder="1" applyAlignment="1">
      <alignment horizontal="left" vertical="center"/>
    </xf>
    <xf numFmtId="166" fontId="9" fillId="0" borderId="22" xfId="1" applyNumberFormat="1" applyFont="1" applyBorder="1"/>
    <xf numFmtId="166" fontId="5" fillId="0" borderId="22" xfId="1" applyNumberFormat="1" applyFont="1" applyBorder="1" applyAlignment="1">
      <alignment horizontal="left"/>
    </xf>
    <xf numFmtId="39" fontId="8" fillId="0" borderId="21" xfId="0" applyFont="1" applyBorder="1" applyAlignment="1">
      <alignment horizontal="center"/>
    </xf>
    <xf numFmtId="39" fontId="8" fillId="0" borderId="0" xfId="0" applyFont="1" applyBorder="1" applyAlignment="1">
      <alignment horizontal="center"/>
    </xf>
    <xf numFmtId="39" fontId="8" fillId="0" borderId="22" xfId="0" applyFont="1" applyBorder="1" applyAlignment="1">
      <alignment horizontal="center"/>
    </xf>
    <xf numFmtId="39" fontId="8" fillId="0" borderId="21" xfId="0" quotePrefix="1" applyFont="1" applyBorder="1" applyAlignment="1">
      <alignment horizontal="center" vertical="center"/>
    </xf>
    <xf numFmtId="39" fontId="8" fillId="0" borderId="0" xfId="0" quotePrefix="1" applyFont="1" applyBorder="1" applyAlignment="1">
      <alignment horizontal="center" vertical="center"/>
    </xf>
    <xf numFmtId="39" fontId="8" fillId="0" borderId="22" xfId="0" quotePrefix="1" applyFont="1" applyBorder="1" applyAlignment="1">
      <alignment horizontal="center" vertical="center"/>
    </xf>
    <xf numFmtId="166" fontId="5" fillId="0" borderId="21" xfId="1" applyNumberFormat="1" applyFont="1" applyBorder="1" applyAlignment="1">
      <alignment horizontal="left"/>
    </xf>
    <xf numFmtId="166" fontId="5" fillId="0" borderId="0" xfId="1" applyNumberFormat="1" applyFont="1" applyBorder="1" applyAlignment="1">
      <alignment horizontal="left"/>
    </xf>
    <xf numFmtId="166" fontId="5" fillId="0" borderId="22" xfId="1" applyNumberFormat="1" applyFont="1" applyBorder="1" applyAlignment="1">
      <alignment horizontal="left"/>
    </xf>
    <xf numFmtId="39" fontId="12" fillId="0" borderId="0" xfId="0" applyFont="1" applyAlignment="1">
      <alignment horizontal="center"/>
    </xf>
    <xf numFmtId="39" fontId="14" fillId="0" borderId="0" xfId="0" applyFont="1" applyAlignment="1">
      <alignment horizontal="center"/>
    </xf>
    <xf numFmtId="39" fontId="20" fillId="0" borderId="1" xfId="0" applyFont="1" applyBorder="1" applyAlignment="1">
      <alignment horizontal="center" vertical="center"/>
    </xf>
    <xf numFmtId="0" fontId="20" fillId="0" borderId="0" xfId="3" applyFont="1" applyAlignment="1">
      <alignment horizontal="left" vertical="center"/>
    </xf>
    <xf numFmtId="39" fontId="8" fillId="0" borderId="21" xfId="0" applyFont="1" applyBorder="1" applyAlignment="1">
      <alignment horizontal="center" vertical="center"/>
    </xf>
    <xf numFmtId="39" fontId="8" fillId="0" borderId="0" xfId="0" applyFont="1" applyBorder="1" applyAlignment="1">
      <alignment horizontal="center" vertical="center"/>
    </xf>
    <xf numFmtId="39" fontId="8" fillId="0" borderId="22" xfId="0" applyFont="1" applyBorder="1" applyAlignment="1">
      <alignment horizontal="center" vertical="center"/>
    </xf>
    <xf numFmtId="39" fontId="12" fillId="0" borderId="0" xfId="0" applyFont="1" applyBorder="1" applyAlignment="1">
      <alignment horizontal="center"/>
    </xf>
    <xf numFmtId="39" fontId="14" fillId="0" borderId="0" xfId="0" applyFont="1" applyBorder="1" applyAlignment="1">
      <alignment horizontal="center"/>
    </xf>
    <xf numFmtId="39" fontId="20" fillId="0" borderId="0" xfId="0" applyFont="1" applyAlignment="1">
      <alignment horizontal="left" vertical="center"/>
    </xf>
    <xf numFmtId="39" fontId="8" fillId="0" borderId="0" xfId="0" applyFont="1" applyAlignment="1">
      <alignment horizontal="center"/>
    </xf>
    <xf numFmtId="39" fontId="4" fillId="0" borderId="0" xfId="0" applyFont="1" applyAlignment="1">
      <alignment horizontal="center"/>
    </xf>
    <xf numFmtId="39" fontId="5" fillId="0" borderId="1" xfId="0" applyFont="1" applyBorder="1" applyAlignment="1">
      <alignment horizontal="center" vertical="center"/>
    </xf>
    <xf numFmtId="39" fontId="5" fillId="0" borderId="12" xfId="0" applyFont="1" applyBorder="1" applyAlignment="1">
      <alignment horizontal="center" vertical="center"/>
    </xf>
    <xf numFmtId="39" fontId="5" fillId="0" borderId="2" xfId="0" applyFont="1" applyBorder="1" applyAlignment="1">
      <alignment horizontal="center" vertical="center"/>
    </xf>
    <xf numFmtId="39" fontId="5" fillId="0" borderId="6" xfId="0" applyFont="1" applyBorder="1" applyAlignment="1">
      <alignment horizontal="center" vertical="center"/>
    </xf>
    <xf numFmtId="39" fontId="5" fillId="0" borderId="8" xfId="0" applyFont="1" applyBorder="1" applyAlignment="1">
      <alignment horizontal="center" vertical="center"/>
    </xf>
    <xf numFmtId="39" fontId="5" fillId="0" borderId="5" xfId="0" applyFont="1" applyBorder="1" applyAlignment="1">
      <alignment horizontal="center" vertical="center"/>
    </xf>
    <xf numFmtId="167" fontId="4" fillId="0" borderId="21" xfId="0" applyNumberFormat="1" applyFont="1" applyBorder="1"/>
    <xf numFmtId="39" fontId="9" fillId="0" borderId="0" xfId="0" applyFont="1" applyBorder="1"/>
    <xf numFmtId="166" fontId="9" fillId="0" borderId="0" xfId="1" applyNumberFormat="1" applyFont="1" applyBorder="1"/>
    <xf numFmtId="39" fontId="13" fillId="0" borderId="1" xfId="0" applyFont="1" applyBorder="1"/>
    <xf numFmtId="166" fontId="13" fillId="0" borderId="1" xfId="1" applyNumberFormat="1" applyFont="1" applyBorder="1"/>
  </cellXfs>
  <cellStyles count="4">
    <cellStyle name="Comma" xfId="1" builtinId="3"/>
    <cellStyle name="Normal" xfId="0" builtinId="0"/>
    <cellStyle name="Normal 2" xfId="2"/>
    <cellStyle name="Normal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86591</xdr:colOff>
      <xdr:row>1</xdr:row>
      <xdr:rowOff>78277</xdr:rowOff>
    </xdr:from>
    <xdr:to>
      <xdr:col>1</xdr:col>
      <xdr:colOff>1789546</xdr:colOff>
      <xdr:row>5</xdr:row>
      <xdr:rowOff>14431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318" y="78277"/>
          <a:ext cx="1702955" cy="97524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114858</xdr:colOff>
      <xdr:row>1</xdr:row>
      <xdr:rowOff>182096</xdr:rowOff>
    </xdr:from>
    <xdr:to>
      <xdr:col>1</xdr:col>
      <xdr:colOff>1400733</xdr:colOff>
      <xdr:row>4</xdr:row>
      <xdr:rowOff>168088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417" y="182096"/>
          <a:ext cx="1285875" cy="75919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E63"/>
  <sheetViews>
    <sheetView showGridLines="0" view="pageBreakPreview" zoomScale="66" zoomScaleNormal="68" zoomScaleSheetLayoutView="66" workbookViewId="0">
      <selection activeCell="J10" sqref="J10"/>
    </sheetView>
  </sheetViews>
  <sheetFormatPr defaultRowHeight="20.25" x14ac:dyDescent="0.3"/>
  <cols>
    <col min="1" max="1" width="9" style="14"/>
    <col min="2" max="2" width="73" style="14" customWidth="1"/>
    <col min="3" max="3" width="8.75" style="18" customWidth="1"/>
    <col min="4" max="4" width="27.75" style="18" customWidth="1"/>
    <col min="5" max="5" width="28.25" style="15" customWidth="1"/>
    <col min="6" max="16384" width="9" style="14"/>
  </cols>
  <sheetData>
    <row r="1" spans="2:5" ht="21" thickBot="1" x14ac:dyDescent="0.35"/>
    <row r="2" spans="2:5" x14ac:dyDescent="0.3">
      <c r="B2" s="270"/>
      <c r="C2" s="271"/>
      <c r="D2" s="271"/>
      <c r="E2" s="272"/>
    </row>
    <row r="3" spans="2:5" x14ac:dyDescent="0.3">
      <c r="B3" s="343" t="s">
        <v>245</v>
      </c>
      <c r="C3" s="344"/>
      <c r="D3" s="344"/>
      <c r="E3" s="345"/>
    </row>
    <row r="4" spans="2:5" x14ac:dyDescent="0.3">
      <c r="B4" s="273"/>
      <c r="C4" s="268"/>
      <c r="D4" s="268"/>
      <c r="E4" s="274"/>
    </row>
    <row r="5" spans="2:5" x14ac:dyDescent="0.3">
      <c r="B5" s="346" t="s">
        <v>540</v>
      </c>
      <c r="C5" s="347"/>
      <c r="D5" s="347"/>
      <c r="E5" s="348"/>
    </row>
    <row r="6" spans="2:5" x14ac:dyDescent="0.3">
      <c r="B6" s="275"/>
      <c r="C6" s="59"/>
      <c r="D6" s="59"/>
      <c r="E6" s="276" t="s">
        <v>488</v>
      </c>
    </row>
    <row r="7" spans="2:5" ht="56.25" customHeight="1" x14ac:dyDescent="0.3">
      <c r="B7" s="277" t="s">
        <v>0</v>
      </c>
      <c r="C7" s="60" t="s">
        <v>1</v>
      </c>
      <c r="D7" s="61" t="s">
        <v>496</v>
      </c>
      <c r="E7" s="278" t="s">
        <v>475</v>
      </c>
    </row>
    <row r="8" spans="2:5" x14ac:dyDescent="0.3">
      <c r="B8" s="279"/>
      <c r="C8" s="186"/>
      <c r="D8" s="186"/>
      <c r="E8" s="280"/>
    </row>
    <row r="9" spans="2:5" x14ac:dyDescent="0.3">
      <c r="B9" s="281" t="s">
        <v>241</v>
      </c>
      <c r="C9" s="23"/>
      <c r="D9" s="23"/>
      <c r="E9" s="282"/>
    </row>
    <row r="10" spans="2:5" x14ac:dyDescent="0.3">
      <c r="B10" s="283"/>
      <c r="C10" s="23"/>
      <c r="D10" s="23"/>
      <c r="E10" s="282"/>
    </row>
    <row r="11" spans="2:5" x14ac:dyDescent="0.3">
      <c r="B11" s="283" t="s">
        <v>14</v>
      </c>
      <c r="C11" s="22">
        <v>1</v>
      </c>
      <c r="D11" s="172">
        <f>+'Sch-BS'!D25</f>
        <v>4973042300</v>
      </c>
      <c r="E11" s="284">
        <v>4451152300</v>
      </c>
    </row>
    <row r="12" spans="2:5" x14ac:dyDescent="0.3">
      <c r="B12" s="283" t="s">
        <v>17</v>
      </c>
      <c r="C12" s="22">
        <v>2</v>
      </c>
      <c r="D12" s="172">
        <f>+'Sch-BS'!D56</f>
        <v>8353883129.6900005</v>
      </c>
      <c r="E12" s="284">
        <v>7561262454.3600006</v>
      </c>
    </row>
    <row r="13" spans="2:5" x14ac:dyDescent="0.3">
      <c r="B13" s="283" t="s">
        <v>18</v>
      </c>
      <c r="C13" s="22"/>
      <c r="D13" s="172">
        <f>+'Draft-BS'!E121</f>
        <v>500000000</v>
      </c>
      <c r="E13" s="284">
        <v>342500000</v>
      </c>
    </row>
    <row r="14" spans="2:5" x14ac:dyDescent="0.3">
      <c r="B14" s="283" t="s">
        <v>16</v>
      </c>
      <c r="C14" s="22">
        <f>C12+1</f>
        <v>3</v>
      </c>
      <c r="D14" s="172">
        <f>+'Sch-BS'!D77</f>
        <v>95111629073.720001</v>
      </c>
      <c r="E14" s="284">
        <v>91514235113.490005</v>
      </c>
    </row>
    <row r="15" spans="2:5" x14ac:dyDescent="0.3">
      <c r="B15" s="283" t="s">
        <v>15</v>
      </c>
      <c r="C15" s="22">
        <f>C14+1</f>
        <v>4</v>
      </c>
      <c r="D15" s="172">
        <f>+'Sch-BS'!D90</f>
        <v>69517229096</v>
      </c>
      <c r="E15" s="284">
        <v>64312249690</v>
      </c>
    </row>
    <row r="16" spans="2:5" x14ac:dyDescent="0.3">
      <c r="B16" s="283" t="s">
        <v>19</v>
      </c>
      <c r="C16" s="22"/>
      <c r="D16" s="172">
        <f>+'Draft-BS'!E99</f>
        <v>780039639</v>
      </c>
      <c r="E16" s="284">
        <v>886708073</v>
      </c>
    </row>
    <row r="17" spans="2:5" x14ac:dyDescent="0.3">
      <c r="B17" s="283" t="s">
        <v>12</v>
      </c>
      <c r="C17" s="22">
        <v>5</v>
      </c>
      <c r="D17" s="172">
        <f>+'Sch-BS'!D110</f>
        <v>3040966395.8000002</v>
      </c>
      <c r="E17" s="284">
        <v>2303956215.5100002</v>
      </c>
    </row>
    <row r="18" spans="2:5" x14ac:dyDescent="0.3">
      <c r="B18" s="283" t="s">
        <v>452</v>
      </c>
      <c r="C18" s="22"/>
      <c r="D18" s="172">
        <f>+'Draft-BS'!E95+'Draft-BS'!E97</f>
        <v>2282451576</v>
      </c>
      <c r="E18" s="284">
        <v>1811459344</v>
      </c>
    </row>
    <row r="19" spans="2:5" x14ac:dyDescent="0.3">
      <c r="B19" s="283"/>
      <c r="C19" s="19"/>
      <c r="D19" s="19"/>
      <c r="E19" s="284"/>
    </row>
    <row r="20" spans="2:5" x14ac:dyDescent="0.3">
      <c r="B20" s="283"/>
      <c r="C20" s="62"/>
      <c r="D20" s="62"/>
      <c r="E20" s="285"/>
    </row>
    <row r="21" spans="2:5" x14ac:dyDescent="0.3">
      <c r="B21" s="277" t="s">
        <v>3</v>
      </c>
      <c r="C21" s="30"/>
      <c r="D21" s="187">
        <f>+SUM(D11:D18)+1</f>
        <v>184559241211.20999</v>
      </c>
      <c r="E21" s="286">
        <f>+SUM(E11:E18)</f>
        <v>173183523190.36002</v>
      </c>
    </row>
    <row r="22" spans="2:5" x14ac:dyDescent="0.3">
      <c r="B22" s="287"/>
      <c r="C22" s="27"/>
      <c r="D22" s="27"/>
      <c r="E22" s="288"/>
    </row>
    <row r="23" spans="2:5" x14ac:dyDescent="0.3">
      <c r="B23" s="289" t="s">
        <v>242</v>
      </c>
      <c r="C23" s="23"/>
      <c r="D23" s="23"/>
      <c r="E23" s="282"/>
    </row>
    <row r="24" spans="2:5" x14ac:dyDescent="0.3">
      <c r="B24" s="290"/>
      <c r="C24" s="23"/>
      <c r="D24" s="23"/>
      <c r="E24" s="282"/>
    </row>
    <row r="25" spans="2:5" x14ac:dyDescent="0.3">
      <c r="B25" s="290" t="s">
        <v>20</v>
      </c>
      <c r="C25" s="22">
        <v>6</v>
      </c>
      <c r="D25" s="172">
        <f>+'Sch-BS'!D125</f>
        <v>14815003276.560001</v>
      </c>
      <c r="E25" s="284">
        <v>11981436673.380001</v>
      </c>
    </row>
    <row r="26" spans="2:5" x14ac:dyDescent="0.3">
      <c r="B26" s="290" t="s">
        <v>21</v>
      </c>
      <c r="C26" s="22"/>
      <c r="D26" s="172">
        <f>+'Draft-BS'!J19</f>
        <v>7500000000</v>
      </c>
      <c r="E26" s="284">
        <v>3350000000</v>
      </c>
    </row>
    <row r="27" spans="2:5" x14ac:dyDescent="0.3">
      <c r="B27" s="290" t="s">
        <v>22</v>
      </c>
      <c r="C27" s="22">
        <f>C25+1</f>
        <v>7</v>
      </c>
      <c r="D27" s="172">
        <f>+'Sch-BS'!D141</f>
        <v>26631021881.169998</v>
      </c>
      <c r="E27" s="284">
        <v>34147005788.669998</v>
      </c>
    </row>
    <row r="28" spans="2:5" x14ac:dyDescent="0.3">
      <c r="B28" s="290" t="s">
        <v>23</v>
      </c>
      <c r="C28" s="22">
        <f>C27+1</f>
        <v>8</v>
      </c>
      <c r="D28" s="172">
        <f>+'Sch-BS'!D197</f>
        <v>120418979910.26001</v>
      </c>
      <c r="E28" s="284">
        <v>109173301171.44998</v>
      </c>
    </row>
    <row r="29" spans="2:5" x14ac:dyDescent="0.3">
      <c r="B29" s="290" t="s">
        <v>24</v>
      </c>
      <c r="C29" s="22">
        <f>C28+1</f>
        <v>9</v>
      </c>
      <c r="D29" s="172">
        <f>+'Sch-BS'!D238</f>
        <v>970001343.13</v>
      </c>
      <c r="E29" s="284">
        <v>1024030369.13</v>
      </c>
    </row>
    <row r="30" spans="2:5" x14ac:dyDescent="0.3">
      <c r="B30" s="290" t="s">
        <v>25</v>
      </c>
      <c r="C30" s="22">
        <f>C29+1</f>
        <v>10</v>
      </c>
      <c r="D30" s="172">
        <f>+'Sch-BS'!D251</f>
        <v>11916718553.730001</v>
      </c>
      <c r="E30" s="284">
        <v>11688479775.790001</v>
      </c>
    </row>
    <row r="31" spans="2:5" x14ac:dyDescent="0.3">
      <c r="B31" s="290" t="s">
        <v>251</v>
      </c>
      <c r="C31" s="22"/>
      <c r="D31" s="192">
        <f>+'Draft-BS'!J91</f>
        <v>25064670.170000002</v>
      </c>
      <c r="E31" s="291">
        <v>7810068</v>
      </c>
    </row>
    <row r="32" spans="2:5" x14ac:dyDescent="0.3">
      <c r="B32" s="283" t="s">
        <v>452</v>
      </c>
      <c r="C32" s="22"/>
      <c r="D32" s="172">
        <f>+D18</f>
        <v>2282451576</v>
      </c>
      <c r="E32" s="284">
        <v>1811459344</v>
      </c>
    </row>
    <row r="33" spans="2:5" x14ac:dyDescent="0.3">
      <c r="B33" s="292"/>
      <c r="C33" s="63"/>
      <c r="D33" s="172"/>
      <c r="E33" s="284"/>
    </row>
    <row r="34" spans="2:5" x14ac:dyDescent="0.3">
      <c r="B34" s="277" t="s">
        <v>3</v>
      </c>
      <c r="C34" s="30"/>
      <c r="D34" s="173">
        <f>+SUM(D25:D32)</f>
        <v>184559241211.02002</v>
      </c>
      <c r="E34" s="286">
        <f>+SUM(E25:E32)</f>
        <v>173183523190.42001</v>
      </c>
    </row>
    <row r="35" spans="2:5" x14ac:dyDescent="0.3">
      <c r="B35" s="293" t="s">
        <v>487</v>
      </c>
      <c r="C35" s="188"/>
      <c r="D35" s="188" t="s">
        <v>2</v>
      </c>
      <c r="E35" s="294"/>
    </row>
    <row r="36" spans="2:5" x14ac:dyDescent="0.3">
      <c r="B36" s="295" t="s">
        <v>521</v>
      </c>
      <c r="C36" s="31"/>
      <c r="D36" s="31"/>
      <c r="E36" s="296"/>
    </row>
    <row r="37" spans="2:5" x14ac:dyDescent="0.3">
      <c r="B37" s="297" t="s">
        <v>240</v>
      </c>
      <c r="C37" s="1"/>
      <c r="D37" s="1"/>
      <c r="E37" s="298"/>
    </row>
    <row r="38" spans="2:5" x14ac:dyDescent="0.3">
      <c r="B38" s="299" t="s">
        <v>5</v>
      </c>
      <c r="C38" s="2">
        <v>23</v>
      </c>
      <c r="D38" s="2"/>
      <c r="E38" s="298"/>
    </row>
    <row r="39" spans="2:5" x14ac:dyDescent="0.3">
      <c r="B39" s="299" t="s">
        <v>4</v>
      </c>
      <c r="C39" s="2">
        <v>24</v>
      </c>
      <c r="D39" s="2"/>
      <c r="E39" s="298"/>
    </row>
    <row r="40" spans="2:5" x14ac:dyDescent="0.3">
      <c r="B40" s="299"/>
      <c r="C40" s="2"/>
      <c r="D40" s="2"/>
      <c r="E40" s="298"/>
    </row>
    <row r="41" spans="2:5" x14ac:dyDescent="0.3">
      <c r="B41" s="300" t="s">
        <v>463</v>
      </c>
      <c r="C41" s="1"/>
      <c r="D41" s="1"/>
      <c r="E41" s="298"/>
    </row>
    <row r="42" spans="2:5" x14ac:dyDescent="0.3">
      <c r="B42" s="301" t="s">
        <v>461</v>
      </c>
      <c r="C42" s="1"/>
      <c r="D42" s="1"/>
      <c r="E42" s="298"/>
    </row>
    <row r="43" spans="2:5" x14ac:dyDescent="0.3">
      <c r="B43" s="302" t="s">
        <v>6</v>
      </c>
      <c r="C43" s="1"/>
      <c r="D43" s="1"/>
      <c r="E43" s="298"/>
    </row>
    <row r="44" spans="2:5" x14ac:dyDescent="0.3">
      <c r="B44" s="300" t="s">
        <v>473</v>
      </c>
      <c r="C44" s="9"/>
      <c r="D44" s="9"/>
      <c r="E44" s="303"/>
    </row>
    <row r="45" spans="2:5" x14ac:dyDescent="0.3">
      <c r="B45" s="300"/>
      <c r="C45" s="9"/>
      <c r="D45" s="9"/>
      <c r="E45" s="303"/>
    </row>
    <row r="46" spans="2:5" x14ac:dyDescent="0.3">
      <c r="B46" s="300"/>
      <c r="C46" s="9"/>
      <c r="D46" s="9"/>
      <c r="E46" s="303"/>
    </row>
    <row r="47" spans="2:5" x14ac:dyDescent="0.3">
      <c r="B47" s="304"/>
      <c r="C47" s="12"/>
      <c r="D47" s="12"/>
      <c r="E47" s="305"/>
    </row>
    <row r="48" spans="2:5" x14ac:dyDescent="0.3">
      <c r="B48" s="304"/>
      <c r="C48" s="4"/>
      <c r="D48" s="10" t="s">
        <v>246</v>
      </c>
      <c r="E48" s="306"/>
    </row>
    <row r="49" spans="2:5" x14ac:dyDescent="0.3">
      <c r="B49" s="307" t="s">
        <v>485</v>
      </c>
      <c r="C49" s="3"/>
      <c r="D49" s="3"/>
      <c r="E49" s="308"/>
    </row>
    <row r="50" spans="2:5" x14ac:dyDescent="0.3">
      <c r="B50" s="300" t="s">
        <v>243</v>
      </c>
      <c r="C50" s="5"/>
      <c r="D50" s="5"/>
      <c r="E50" s="309"/>
    </row>
    <row r="51" spans="2:5" x14ac:dyDescent="0.3">
      <c r="B51" s="300" t="s">
        <v>481</v>
      </c>
      <c r="C51" s="11"/>
      <c r="D51" s="11"/>
      <c r="E51" s="310"/>
    </row>
    <row r="52" spans="2:5" x14ac:dyDescent="0.3">
      <c r="B52" s="311"/>
      <c r="C52" s="11"/>
      <c r="D52" s="11"/>
      <c r="E52" s="310"/>
    </row>
    <row r="53" spans="2:5" x14ac:dyDescent="0.3">
      <c r="B53" s="311"/>
      <c r="C53" s="11"/>
      <c r="D53" s="11"/>
      <c r="E53" s="310"/>
    </row>
    <row r="54" spans="2:5" x14ac:dyDescent="0.3">
      <c r="B54" s="311"/>
      <c r="C54" s="11"/>
      <c r="D54" s="11"/>
      <c r="E54" s="310"/>
    </row>
    <row r="55" spans="2:5" x14ac:dyDescent="0.3">
      <c r="B55" s="311"/>
      <c r="C55" s="6"/>
      <c r="D55" s="6"/>
      <c r="E55" s="309"/>
    </row>
    <row r="56" spans="2:5" ht="18.75" customHeight="1" x14ac:dyDescent="0.3">
      <c r="B56" s="312"/>
      <c r="C56" s="7"/>
      <c r="D56" s="7"/>
      <c r="E56" s="313"/>
    </row>
    <row r="57" spans="2:5" x14ac:dyDescent="0.3">
      <c r="B57" s="314"/>
      <c r="C57" s="191"/>
      <c r="D57" s="191"/>
      <c r="E57" s="305"/>
    </row>
    <row r="58" spans="2:5" x14ac:dyDescent="0.3">
      <c r="B58" s="349" t="s">
        <v>537</v>
      </c>
      <c r="C58" s="350"/>
      <c r="D58" s="350"/>
      <c r="E58" s="351"/>
    </row>
    <row r="59" spans="2:5" x14ac:dyDescent="0.3">
      <c r="B59" s="315"/>
      <c r="C59" s="6"/>
      <c r="D59" s="6"/>
      <c r="E59" s="309"/>
    </row>
    <row r="60" spans="2:5" x14ac:dyDescent="0.3">
      <c r="B60" s="311" t="s">
        <v>474</v>
      </c>
      <c r="C60" s="6"/>
      <c r="D60" s="6"/>
      <c r="E60" s="309"/>
    </row>
    <row r="61" spans="2:5" x14ac:dyDescent="0.3">
      <c r="B61" s="311" t="s">
        <v>539</v>
      </c>
      <c r="C61" s="6"/>
      <c r="D61" s="6"/>
      <c r="E61" s="309"/>
    </row>
    <row r="62" spans="2:5" x14ac:dyDescent="0.3">
      <c r="B62" s="64"/>
      <c r="C62" s="33"/>
      <c r="D62" s="33"/>
      <c r="E62" s="32"/>
    </row>
    <row r="63" spans="2:5" x14ac:dyDescent="0.3">
      <c r="B63" s="65"/>
      <c r="C63" s="31"/>
      <c r="D63" s="31"/>
      <c r="E63" s="29"/>
    </row>
  </sheetData>
  <mergeCells count="3">
    <mergeCell ref="B3:E3"/>
    <mergeCell ref="B5:E5"/>
    <mergeCell ref="B58:E58"/>
  </mergeCells>
  <printOptions horizontalCentered="1"/>
  <pageMargins left="0.70866141732283472" right="0.70866141732283472" top="0.35433070866141736" bottom="0.35433070866141736" header="0" footer="0"/>
  <pageSetup paperSize="9" scale="6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252"/>
  <sheetViews>
    <sheetView showGridLines="0" view="pageBreakPreview" zoomScale="50" zoomScaleNormal="64" zoomScaleSheetLayoutView="50" workbookViewId="0">
      <selection activeCell="B255" sqref="B255"/>
    </sheetView>
  </sheetViews>
  <sheetFormatPr defaultRowHeight="33" x14ac:dyDescent="0.45"/>
  <cols>
    <col min="1" max="1" width="9" style="35"/>
    <col min="2" max="2" width="110.375" style="35" customWidth="1"/>
    <col min="3" max="3" width="40.125" style="44" customWidth="1"/>
    <col min="4" max="4" width="41.875" style="44" customWidth="1"/>
    <col min="5" max="6" width="40.875" style="44" customWidth="1"/>
    <col min="7" max="16384" width="9" style="35"/>
  </cols>
  <sheetData>
    <row r="2" spans="2:6" ht="33.75" x14ac:dyDescent="0.5">
      <c r="B2" s="352" t="s">
        <v>244</v>
      </c>
      <c r="C2" s="352"/>
      <c r="D2" s="352"/>
      <c r="E2" s="352"/>
      <c r="F2" s="352"/>
    </row>
    <row r="4" spans="2:6" ht="33.75" x14ac:dyDescent="0.5">
      <c r="B4" s="353" t="s">
        <v>498</v>
      </c>
      <c r="C4" s="353"/>
      <c r="D4" s="353"/>
      <c r="E4" s="353"/>
      <c r="F4" s="353"/>
    </row>
    <row r="6" spans="2:6" s="36" customFormat="1" ht="76.5" customHeight="1" x14ac:dyDescent="0.15">
      <c r="B6" s="67" t="s">
        <v>0</v>
      </c>
      <c r="C6" s="131"/>
      <c r="D6" s="120" t="s">
        <v>497</v>
      </c>
      <c r="E6" s="132"/>
      <c r="F6" s="120" t="s">
        <v>454</v>
      </c>
    </row>
    <row r="7" spans="2:6" x14ac:dyDescent="0.45">
      <c r="B7" s="45"/>
      <c r="C7" s="133"/>
      <c r="D7" s="37"/>
      <c r="E7" s="37"/>
      <c r="F7" s="37"/>
    </row>
    <row r="8" spans="2:6" ht="33.75" x14ac:dyDescent="0.5">
      <c r="B8" s="46" t="s">
        <v>179</v>
      </c>
      <c r="C8" s="134"/>
      <c r="D8" s="135"/>
      <c r="E8" s="135"/>
      <c r="F8" s="37"/>
    </row>
    <row r="9" spans="2:6" hidden="1" x14ac:dyDescent="0.45">
      <c r="B9" s="45" t="s">
        <v>51</v>
      </c>
      <c r="C9" s="133"/>
      <c r="D9" s="37"/>
      <c r="E9" s="37"/>
      <c r="F9" s="37"/>
    </row>
    <row r="10" spans="2:6" hidden="1" x14ac:dyDescent="0.45">
      <c r="B10" s="45" t="s">
        <v>48</v>
      </c>
      <c r="C10" s="133"/>
      <c r="D10" s="37">
        <f>+F10</f>
        <v>1500000000</v>
      </c>
      <c r="E10" s="37"/>
      <c r="F10" s="38">
        <v>1500000000</v>
      </c>
    </row>
    <row r="11" spans="2:6" x14ac:dyDescent="0.45">
      <c r="B11" s="45"/>
      <c r="C11" s="133"/>
      <c r="D11" s="37"/>
      <c r="E11" s="37"/>
      <c r="F11" s="38"/>
    </row>
    <row r="12" spans="2:6" ht="33.75" thickBot="1" x14ac:dyDescent="0.5">
      <c r="B12" s="47" t="s">
        <v>51</v>
      </c>
      <c r="C12" s="133"/>
      <c r="D12" s="246">
        <v>10000000000</v>
      </c>
      <c r="E12" s="37"/>
      <c r="F12" s="193">
        <v>1500000000</v>
      </c>
    </row>
    <row r="13" spans="2:6" ht="34.5" thickTop="1" x14ac:dyDescent="0.5">
      <c r="B13" s="245" t="s">
        <v>535</v>
      </c>
      <c r="C13" s="134"/>
      <c r="D13" s="227"/>
      <c r="E13" s="37"/>
      <c r="F13" s="38"/>
    </row>
    <row r="14" spans="2:6" ht="33.75" x14ac:dyDescent="0.5">
      <c r="B14" s="245"/>
      <c r="C14" s="134"/>
      <c r="D14" s="227"/>
      <c r="E14" s="37"/>
      <c r="F14" s="38"/>
    </row>
    <row r="15" spans="2:6" x14ac:dyDescent="0.45">
      <c r="B15" s="47" t="s">
        <v>50</v>
      </c>
      <c r="C15" s="133"/>
      <c r="D15" s="37"/>
      <c r="E15" s="37"/>
      <c r="F15" s="37"/>
    </row>
    <row r="16" spans="2:6" x14ac:dyDescent="0.45">
      <c r="B16" s="53" t="s">
        <v>525</v>
      </c>
      <c r="C16" s="147"/>
      <c r="D16" s="229">
        <f>+D25</f>
        <v>4973042300</v>
      </c>
      <c r="E16" s="37"/>
      <c r="F16" s="193">
        <v>4451152300</v>
      </c>
    </row>
    <row r="17" spans="2:6" x14ac:dyDescent="0.45">
      <c r="B17" s="53"/>
      <c r="C17" s="147"/>
      <c r="D17" s="42"/>
      <c r="E17" s="37"/>
      <c r="F17" s="136"/>
    </row>
    <row r="18" spans="2:6" x14ac:dyDescent="0.45">
      <c r="B18" s="230" t="s">
        <v>49</v>
      </c>
      <c r="C18" s="147"/>
      <c r="D18" s="42"/>
      <c r="E18" s="37"/>
      <c r="F18" s="136"/>
    </row>
    <row r="19" spans="2:6" x14ac:dyDescent="0.45">
      <c r="B19" s="53" t="s">
        <v>526</v>
      </c>
      <c r="C19" s="147"/>
      <c r="D19" s="229">
        <f>+'SC-Reco'!O7</f>
        <v>3893300000</v>
      </c>
      <c r="E19" s="38"/>
      <c r="F19" s="193">
        <v>3848300000</v>
      </c>
    </row>
    <row r="20" spans="2:6" x14ac:dyDescent="0.45">
      <c r="B20" s="53" t="s">
        <v>437</v>
      </c>
      <c r="C20" s="147"/>
      <c r="D20" s="231">
        <f>+'SC-Reco'!O8</f>
        <v>0</v>
      </c>
      <c r="E20" s="38"/>
      <c r="F20" s="194">
        <v>0</v>
      </c>
    </row>
    <row r="21" spans="2:6" hidden="1" x14ac:dyDescent="0.45">
      <c r="B21" s="53" t="s">
        <v>434</v>
      </c>
      <c r="C21" s="147"/>
      <c r="D21" s="229"/>
      <c r="E21" s="38"/>
      <c r="F21" s="193"/>
    </row>
    <row r="22" spans="2:6" hidden="1" x14ac:dyDescent="0.45">
      <c r="B22" s="53" t="s">
        <v>435</v>
      </c>
      <c r="C22" s="147"/>
      <c r="D22" s="229"/>
      <c r="E22" s="38"/>
      <c r="F22" s="193"/>
    </row>
    <row r="23" spans="2:6" hidden="1" x14ac:dyDescent="0.45">
      <c r="B23" s="53" t="s">
        <v>436</v>
      </c>
      <c r="C23" s="147"/>
      <c r="D23" s="229"/>
      <c r="E23" s="38"/>
      <c r="F23" s="193"/>
    </row>
    <row r="24" spans="2:6" x14ac:dyDescent="0.45">
      <c r="B24" s="53" t="s">
        <v>527</v>
      </c>
      <c r="C24" s="147"/>
      <c r="D24" s="229">
        <f>+'SC-Reco'!O9+'SC-Reco'!O10</f>
        <v>1079742300</v>
      </c>
      <c r="E24" s="38"/>
      <c r="F24" s="193">
        <v>602852300</v>
      </c>
    </row>
    <row r="25" spans="2:6" ht="34.5" thickBot="1" x14ac:dyDescent="0.55000000000000004">
      <c r="B25" s="45"/>
      <c r="C25" s="133"/>
      <c r="D25" s="197">
        <f>+'Draft-BS'!E18</f>
        <v>4973042300</v>
      </c>
      <c r="E25" s="37"/>
      <c r="F25" s="197">
        <f>SUM(F19:F24)</f>
        <v>4451152300</v>
      </c>
    </row>
    <row r="26" spans="2:6" ht="33.75" thickTop="1" x14ac:dyDescent="0.45">
      <c r="B26" s="45"/>
      <c r="C26" s="133"/>
      <c r="D26" s="37"/>
      <c r="E26" s="37"/>
      <c r="F26" s="37"/>
    </row>
    <row r="27" spans="2:6" x14ac:dyDescent="0.45">
      <c r="B27" s="45"/>
      <c r="C27" s="133"/>
      <c r="D27" s="37"/>
      <c r="E27" s="37"/>
      <c r="F27" s="37"/>
    </row>
    <row r="28" spans="2:6" ht="33.75" x14ac:dyDescent="0.5">
      <c r="B28" s="46" t="s">
        <v>180</v>
      </c>
      <c r="C28" s="134"/>
      <c r="D28" s="135"/>
      <c r="E28" s="135"/>
      <c r="F28" s="37"/>
    </row>
    <row r="29" spans="2:6" x14ac:dyDescent="0.45">
      <c r="B29" s="45" t="s">
        <v>52</v>
      </c>
      <c r="C29" s="133"/>
      <c r="D29" s="193">
        <f>+'Draft-BS'!C21</f>
        <v>5638600224.6300001</v>
      </c>
      <c r="E29" s="37"/>
      <c r="F29" s="193">
        <v>5046178825.75</v>
      </c>
    </row>
    <row r="30" spans="2:6" x14ac:dyDescent="0.45">
      <c r="B30" s="45"/>
      <c r="C30" s="133"/>
      <c r="D30" s="37"/>
      <c r="E30" s="37"/>
      <c r="F30" s="37"/>
    </row>
    <row r="31" spans="2:6" x14ac:dyDescent="0.45">
      <c r="B31" s="47" t="s">
        <v>80</v>
      </c>
      <c r="C31" s="137"/>
      <c r="D31" s="138"/>
      <c r="E31" s="37"/>
      <c r="F31" s="37"/>
    </row>
    <row r="32" spans="2:6" x14ac:dyDescent="0.45">
      <c r="B32" s="45" t="s">
        <v>81</v>
      </c>
      <c r="C32" s="193">
        <f>+'Draft-BS'!C23</f>
        <v>514345606.39999998</v>
      </c>
      <c r="D32" s="37"/>
      <c r="E32" s="193">
        <v>496139978.39999998</v>
      </c>
      <c r="F32" s="37"/>
    </row>
    <row r="33" spans="2:6" x14ac:dyDescent="0.45">
      <c r="B33" s="45" t="s">
        <v>82</v>
      </c>
      <c r="C33" s="195">
        <f>+'Draft-BS'!C24</f>
        <v>77306000</v>
      </c>
      <c r="D33" s="193">
        <f>+SUM(C32:C33)</f>
        <v>591651606.39999998</v>
      </c>
      <c r="E33" s="195">
        <v>77306000</v>
      </c>
      <c r="F33" s="193">
        <v>573445978.39999998</v>
      </c>
    </row>
    <row r="34" spans="2:6" x14ac:dyDescent="0.45">
      <c r="B34" s="45"/>
      <c r="C34" s="133"/>
      <c r="D34" s="37"/>
      <c r="E34" s="37"/>
      <c r="F34" s="37"/>
    </row>
    <row r="35" spans="2:6" x14ac:dyDescent="0.45">
      <c r="B35" s="48" t="s">
        <v>83</v>
      </c>
      <c r="C35" s="139"/>
      <c r="D35" s="140"/>
      <c r="E35" s="37"/>
      <c r="F35" s="37"/>
    </row>
    <row r="36" spans="2:6" x14ac:dyDescent="0.45">
      <c r="B36" s="49" t="s">
        <v>53</v>
      </c>
      <c r="C36" s="141"/>
      <c r="D36" s="222">
        <f>+'Draft-BS'!C28</f>
        <v>191784150.86000001</v>
      </c>
      <c r="E36" s="39"/>
      <c r="F36" s="193">
        <v>190788080.86000001</v>
      </c>
    </row>
    <row r="37" spans="2:6" x14ac:dyDescent="0.45">
      <c r="B37" s="49" t="s">
        <v>54</v>
      </c>
      <c r="C37" s="141"/>
      <c r="D37" s="222">
        <f>+'Draft-BS'!C29</f>
        <v>20726597.969999999</v>
      </c>
      <c r="E37" s="39"/>
      <c r="F37" s="193">
        <v>20527383.969999999</v>
      </c>
    </row>
    <row r="38" spans="2:6" x14ac:dyDescent="0.45">
      <c r="B38" s="49" t="s">
        <v>55</v>
      </c>
      <c r="C38" s="141"/>
      <c r="D38" s="222">
        <f>+'Draft-BS'!C30</f>
        <v>735482848.92999995</v>
      </c>
      <c r="E38" s="39"/>
      <c r="F38" s="193">
        <v>532556354.93000001</v>
      </c>
    </row>
    <row r="39" spans="2:6" x14ac:dyDescent="0.45">
      <c r="B39" s="49" t="s">
        <v>56</v>
      </c>
      <c r="C39" s="141"/>
      <c r="D39" s="222">
        <f>+'Draft-BS'!C31</f>
        <v>112333726.55</v>
      </c>
      <c r="E39" s="39"/>
      <c r="F39" s="193">
        <v>121589726.55</v>
      </c>
    </row>
    <row r="40" spans="2:6" x14ac:dyDescent="0.45">
      <c r="B40" s="49" t="s">
        <v>57</v>
      </c>
      <c r="C40" s="141"/>
      <c r="D40" s="222">
        <f>+'Draft-BS'!C25</f>
        <v>79691850.260000005</v>
      </c>
      <c r="E40" s="39"/>
      <c r="F40" s="193">
        <v>71491850.260000005</v>
      </c>
    </row>
    <row r="41" spans="2:6" x14ac:dyDescent="0.45">
      <c r="B41" s="49" t="s">
        <v>58</v>
      </c>
      <c r="C41" s="141"/>
      <c r="D41" s="223">
        <f>+'Draft-BS'!C33</f>
        <v>2955148.37</v>
      </c>
      <c r="E41" s="39"/>
      <c r="F41" s="198">
        <v>2955148.37</v>
      </c>
    </row>
    <row r="42" spans="2:6" x14ac:dyDescent="0.45">
      <c r="B42" s="49" t="s">
        <v>59</v>
      </c>
      <c r="C42" s="141"/>
      <c r="D42" s="223">
        <f>+'Draft-BS'!C35</f>
        <v>6950222.8099999996</v>
      </c>
      <c r="E42" s="39"/>
      <c r="F42" s="198">
        <v>5456117.8099999996</v>
      </c>
    </row>
    <row r="43" spans="2:6" x14ac:dyDescent="0.45">
      <c r="B43" s="49" t="s">
        <v>60</v>
      </c>
      <c r="C43" s="141"/>
      <c r="D43" s="223">
        <f>+'Draft-BS'!C36</f>
        <v>2668603.73</v>
      </c>
      <c r="E43" s="39"/>
      <c r="F43" s="198">
        <v>2305568.73</v>
      </c>
    </row>
    <row r="44" spans="2:6" x14ac:dyDescent="0.45">
      <c r="B44" s="49" t="s">
        <v>61</v>
      </c>
      <c r="C44" s="141"/>
      <c r="D44" s="223">
        <f>+'Draft-BS'!C37</f>
        <v>1116437</v>
      </c>
      <c r="E44" s="39"/>
      <c r="F44" s="198">
        <v>1116437</v>
      </c>
    </row>
    <row r="45" spans="2:6" x14ac:dyDescent="0.45">
      <c r="B45" s="49" t="s">
        <v>62</v>
      </c>
      <c r="C45" s="141"/>
      <c r="D45" s="222">
        <f>+'Draft-BS'!C34</f>
        <v>17393926.960000001</v>
      </c>
      <c r="E45" s="39"/>
      <c r="F45" s="193">
        <v>16143821.960000001</v>
      </c>
    </row>
    <row r="46" spans="2:6" x14ac:dyDescent="0.45">
      <c r="B46" s="49" t="s">
        <v>63</v>
      </c>
      <c r="C46" s="141"/>
      <c r="D46" s="222">
        <f>+'Draft-BS'!C107-0.55</f>
        <v>76320262</v>
      </c>
      <c r="E46" s="39"/>
      <c r="F46" s="193">
        <v>76320262.549999997</v>
      </c>
    </row>
    <row r="47" spans="2:6" x14ac:dyDescent="0.45">
      <c r="B47" s="49" t="s">
        <v>64</v>
      </c>
      <c r="C47" s="141"/>
      <c r="D47" s="223">
        <f>+'Draft-BS'!C39</f>
        <v>5786000</v>
      </c>
      <c r="E47" s="39"/>
      <c r="F47" s="198">
        <v>5786000</v>
      </c>
    </row>
    <row r="48" spans="2:6" x14ac:dyDescent="0.45">
      <c r="B48" s="49" t="s">
        <v>65</v>
      </c>
      <c r="C48" s="141"/>
      <c r="D48" s="222">
        <f>+'Draft-BS'!C38</f>
        <v>20704054.280000001</v>
      </c>
      <c r="E48" s="39"/>
      <c r="F48" s="193">
        <v>20704054.280000001</v>
      </c>
    </row>
    <row r="49" spans="2:6" x14ac:dyDescent="0.45">
      <c r="B49" s="49" t="s">
        <v>66</v>
      </c>
      <c r="C49" s="141"/>
      <c r="D49" s="223">
        <f>+'Draft-BS'!C40</f>
        <v>2830000</v>
      </c>
      <c r="E49" s="39"/>
      <c r="F49" s="198">
        <v>2830000</v>
      </c>
    </row>
    <row r="50" spans="2:6" x14ac:dyDescent="0.45">
      <c r="B50" s="49" t="s">
        <v>67</v>
      </c>
      <c r="C50" s="141"/>
      <c r="D50" s="222">
        <f>+'Draft-BS'!C43</f>
        <v>19636868.02</v>
      </c>
      <c r="E50" s="39"/>
      <c r="F50" s="193">
        <v>18824798.02</v>
      </c>
    </row>
    <row r="51" spans="2:6" x14ac:dyDescent="0.45">
      <c r="B51" s="49" t="s">
        <v>472</v>
      </c>
      <c r="C51" s="141"/>
      <c r="D51" s="223">
        <f>+'Draft-BS'!C41</f>
        <v>10000000</v>
      </c>
      <c r="E51" s="39"/>
      <c r="F51" s="199">
        <v>5000000</v>
      </c>
    </row>
    <row r="52" spans="2:6" x14ac:dyDescent="0.45">
      <c r="B52" s="49" t="s">
        <v>70</v>
      </c>
      <c r="C52" s="141"/>
      <c r="D52" s="222">
        <f>+'Draft-BS'!C32</f>
        <v>111325521.66</v>
      </c>
      <c r="E52" s="39"/>
      <c r="F52" s="193">
        <v>90329451.659999996</v>
      </c>
    </row>
    <row r="53" spans="2:6" x14ac:dyDescent="0.45">
      <c r="B53" s="49" t="s">
        <v>68</v>
      </c>
      <c r="C53" s="141"/>
      <c r="D53" s="222">
        <f>+'Draft-BS'!C44</f>
        <v>518710313.25999999</v>
      </c>
      <c r="E53" s="39"/>
      <c r="F53" s="193">
        <v>605162032.25999999</v>
      </c>
    </row>
    <row r="54" spans="2:6" x14ac:dyDescent="0.45">
      <c r="B54" s="49" t="s">
        <v>69</v>
      </c>
      <c r="C54" s="141"/>
      <c r="D54" s="222">
        <f>+'Draft-BS'!C45</f>
        <v>87214766</v>
      </c>
      <c r="E54" s="39"/>
      <c r="F54" s="193">
        <v>101750560</v>
      </c>
    </row>
    <row r="55" spans="2:6" x14ac:dyDescent="0.45">
      <c r="B55" s="68" t="s">
        <v>516</v>
      </c>
      <c r="C55" s="141"/>
      <c r="D55" s="222">
        <f>+'Draft-BS'!C27</f>
        <v>100000000</v>
      </c>
      <c r="E55" s="39"/>
      <c r="F55" s="193">
        <v>50000000</v>
      </c>
    </row>
    <row r="56" spans="2:6" ht="34.5" thickBot="1" x14ac:dyDescent="0.55000000000000004">
      <c r="B56" s="49"/>
      <c r="C56" s="141"/>
      <c r="D56" s="224">
        <f>+SUM(D29:D55)</f>
        <v>8353883129.6900005</v>
      </c>
      <c r="E56" s="39"/>
      <c r="F56" s="197">
        <v>7561262454.3600006</v>
      </c>
    </row>
    <row r="57" spans="2:6" ht="33.75" thickTop="1" x14ac:dyDescent="0.45">
      <c r="B57" s="49"/>
      <c r="C57" s="141"/>
      <c r="D57" s="39"/>
      <c r="E57" s="39"/>
      <c r="F57" s="39"/>
    </row>
    <row r="58" spans="2:6" ht="33.75" x14ac:dyDescent="0.5">
      <c r="B58" s="50" t="s">
        <v>71</v>
      </c>
      <c r="C58" s="142"/>
      <c r="D58" s="143"/>
      <c r="E58" s="143"/>
      <c r="F58" s="39"/>
    </row>
    <row r="59" spans="2:6" x14ac:dyDescent="0.45">
      <c r="B59" s="48" t="s">
        <v>72</v>
      </c>
      <c r="C59" s="139"/>
      <c r="D59" s="140"/>
      <c r="E59" s="140"/>
      <c r="F59" s="39"/>
    </row>
    <row r="60" spans="2:6" x14ac:dyDescent="0.45">
      <c r="B60" s="49" t="s">
        <v>73</v>
      </c>
      <c r="C60" s="193">
        <f>+'Draft-BS'!C49+'Draft-BS'!C68+'Draft-BS'!C73+'Draft-BS'!C76+'Draft-BS'!C75+'Draft-BS'!C74+'Draft-BS'!C78</f>
        <v>34489774728.910004</v>
      </c>
      <c r="D60" s="39"/>
      <c r="E60" s="193">
        <v>36884043060.709999</v>
      </c>
      <c r="F60" s="39"/>
    </row>
    <row r="61" spans="2:6" x14ac:dyDescent="0.45">
      <c r="B61" s="49" t="s">
        <v>74</v>
      </c>
      <c r="C61" s="193">
        <f>+'Draft-BS'!C50+'Draft-BS'!C64+'Draft-BS'!C69+'Draft-BS'!C77</f>
        <v>17761959151.920002</v>
      </c>
      <c r="D61" s="39"/>
      <c r="E61" s="193">
        <v>8836868415.7600002</v>
      </c>
      <c r="F61" s="39"/>
    </row>
    <row r="62" spans="2:6" x14ac:dyDescent="0.45">
      <c r="B62" s="49" t="s">
        <v>75</v>
      </c>
      <c r="C62" s="193">
        <f>+'Draft-BS'!C51+'Draft-BS'!C65+'Draft-BS'!C70</f>
        <v>11246793253.029999</v>
      </c>
      <c r="D62" s="39"/>
      <c r="E62" s="193">
        <v>13041518692.689999</v>
      </c>
      <c r="F62" s="39"/>
    </row>
    <row r="63" spans="2:6" x14ac:dyDescent="0.45">
      <c r="B63" s="49" t="s">
        <v>76</v>
      </c>
      <c r="C63" s="195">
        <f>+'Draft-BS'!C52+'Draft-BS'!C66+'Draft-BS'!C71</f>
        <v>19725715684.360001</v>
      </c>
      <c r="D63" s="193">
        <f>+SUM(C60:C63)</f>
        <v>83224242818.220001</v>
      </c>
      <c r="E63" s="195">
        <v>20016393063.75</v>
      </c>
      <c r="F63" s="193">
        <v>78778823233.910004</v>
      </c>
    </row>
    <row r="64" spans="2:6" x14ac:dyDescent="0.45">
      <c r="B64" s="49"/>
      <c r="C64" s="141"/>
      <c r="D64" s="39"/>
      <c r="E64" s="141"/>
      <c r="F64" s="39"/>
    </row>
    <row r="65" spans="2:6" x14ac:dyDescent="0.45">
      <c r="B65" s="48" t="s">
        <v>77</v>
      </c>
      <c r="C65" s="139"/>
      <c r="D65" s="140"/>
      <c r="E65" s="139"/>
      <c r="F65" s="39"/>
    </row>
    <row r="66" spans="2:6" x14ac:dyDescent="0.45">
      <c r="B66" s="49" t="s">
        <v>73</v>
      </c>
      <c r="C66" s="193">
        <f>+'Draft-BS'!C54</f>
        <v>5802837823.2299995</v>
      </c>
      <c r="D66" s="39"/>
      <c r="E66" s="193">
        <v>5561114583.3800001</v>
      </c>
      <c r="F66" s="39"/>
    </row>
    <row r="67" spans="2:6" x14ac:dyDescent="0.45">
      <c r="B67" s="49" t="s">
        <v>74</v>
      </c>
      <c r="C67" s="193">
        <f>+'Draft-BS'!C55</f>
        <v>545470459.77999997</v>
      </c>
      <c r="D67" s="39"/>
      <c r="E67" s="193">
        <v>473254118.82999998</v>
      </c>
      <c r="F67" s="39"/>
    </row>
    <row r="68" spans="2:6" x14ac:dyDescent="0.45">
      <c r="B68" s="49" t="s">
        <v>75</v>
      </c>
      <c r="C68" s="200">
        <f>+'Draft-BS'!C56</f>
        <v>955804.15</v>
      </c>
      <c r="D68" s="193">
        <f>+SUM(C66:C68)</f>
        <v>6349264087.1599989</v>
      </c>
      <c r="E68" s="200">
        <v>868304.15</v>
      </c>
      <c r="F68" s="193">
        <v>6035237006.3599997</v>
      </c>
    </row>
    <row r="69" spans="2:6" x14ac:dyDescent="0.45">
      <c r="B69" s="49"/>
      <c r="C69" s="141"/>
      <c r="D69" s="39"/>
      <c r="E69" s="141"/>
      <c r="F69" s="39"/>
    </row>
    <row r="70" spans="2:6" x14ac:dyDescent="0.45">
      <c r="B70" s="48" t="s">
        <v>78</v>
      </c>
      <c r="C70" s="139"/>
      <c r="D70" s="140"/>
      <c r="E70" s="139"/>
      <c r="F70" s="39"/>
    </row>
    <row r="71" spans="2:6" x14ac:dyDescent="0.45">
      <c r="B71" s="49" t="s">
        <v>73</v>
      </c>
      <c r="C71" s="193">
        <f>+'Draft-BS'!C58</f>
        <v>670139414.63</v>
      </c>
      <c r="D71" s="39"/>
      <c r="E71" s="193">
        <v>610702394.28999996</v>
      </c>
      <c r="F71" s="39"/>
    </row>
    <row r="72" spans="2:6" x14ac:dyDescent="0.45">
      <c r="B72" s="49" t="s">
        <v>74</v>
      </c>
      <c r="C72" s="193">
        <f>+'Draft-BS'!C59</f>
        <v>241432587.30000001</v>
      </c>
      <c r="D72" s="39"/>
      <c r="E72" s="193">
        <v>228295153.09999999</v>
      </c>
      <c r="F72" s="39"/>
    </row>
    <row r="73" spans="2:6" x14ac:dyDescent="0.45">
      <c r="B73" s="49" t="s">
        <v>75</v>
      </c>
      <c r="C73" s="193">
        <f>+'Draft-BS'!C60</f>
        <v>1322661936.1900001</v>
      </c>
      <c r="D73" s="39"/>
      <c r="E73" s="193">
        <v>1333983358.3900001</v>
      </c>
      <c r="F73" s="39"/>
    </row>
    <row r="74" spans="2:6" x14ac:dyDescent="0.45">
      <c r="B74" s="49" t="s">
        <v>76</v>
      </c>
      <c r="C74" s="193">
        <f>+'Draft-BS'!C61</f>
        <v>3302257355.2800002</v>
      </c>
      <c r="D74" s="39"/>
      <c r="E74" s="193">
        <v>4523944510.4200001</v>
      </c>
      <c r="F74" s="39"/>
    </row>
    <row r="75" spans="2:6" x14ac:dyDescent="0.45">
      <c r="B75" s="49" t="s">
        <v>79</v>
      </c>
      <c r="C75" s="200">
        <f>+'Draft-BS'!C62</f>
        <v>1630875.94</v>
      </c>
      <c r="D75" s="193">
        <f>+SUM(C71:C75)</f>
        <v>5538122169.3399992</v>
      </c>
      <c r="E75" s="200">
        <v>3249457.02</v>
      </c>
      <c r="F75" s="193">
        <v>6700174872.2200012</v>
      </c>
    </row>
    <row r="76" spans="2:6" x14ac:dyDescent="0.45">
      <c r="B76" s="49"/>
      <c r="C76" s="141"/>
      <c r="D76" s="39"/>
      <c r="E76" s="39"/>
      <c r="F76" s="39"/>
    </row>
    <row r="77" spans="2:6" ht="34.5" thickBot="1" x14ac:dyDescent="0.55000000000000004">
      <c r="B77" s="49"/>
      <c r="C77" s="141"/>
      <c r="D77" s="197">
        <f>+SUM(D63:D75)-1</f>
        <v>95111629073.720001</v>
      </c>
      <c r="E77" s="39"/>
      <c r="F77" s="197">
        <f>+SUM(F63:F75)</f>
        <v>91514235112.490005</v>
      </c>
    </row>
    <row r="78" spans="2:6" ht="33.75" thickTop="1" x14ac:dyDescent="0.45">
      <c r="B78" s="51"/>
      <c r="C78" s="144"/>
      <c r="D78" s="40"/>
      <c r="E78" s="40"/>
      <c r="F78" s="40"/>
    </row>
    <row r="79" spans="2:6" ht="33.75" x14ac:dyDescent="0.5">
      <c r="B79" s="52" t="s">
        <v>84</v>
      </c>
      <c r="C79" s="145"/>
      <c r="D79" s="146"/>
      <c r="E79" s="41"/>
      <c r="F79" s="41"/>
    </row>
    <row r="80" spans="2:6" x14ac:dyDescent="0.45">
      <c r="B80" s="48" t="s">
        <v>92</v>
      </c>
      <c r="C80" s="139"/>
      <c r="D80" s="140"/>
      <c r="E80" s="39"/>
      <c r="F80" s="39"/>
    </row>
    <row r="81" spans="2:6" x14ac:dyDescent="0.45">
      <c r="B81" s="49" t="s">
        <v>85</v>
      </c>
      <c r="C81" s="193">
        <f>+'Draft-BS'!C83</f>
        <v>33120000000</v>
      </c>
      <c r="D81" s="39"/>
      <c r="E81" s="193">
        <v>32620000000</v>
      </c>
      <c r="F81" s="39"/>
    </row>
    <row r="82" spans="2:6" x14ac:dyDescent="0.45">
      <c r="B82" s="49" t="s">
        <v>86</v>
      </c>
      <c r="C82" s="193">
        <f>+'Draft-BS'!C84</f>
        <v>1120000000</v>
      </c>
      <c r="D82" s="39"/>
      <c r="E82" s="193">
        <v>1120000000</v>
      </c>
      <c r="F82" s="39"/>
    </row>
    <row r="83" spans="2:6" x14ac:dyDescent="0.45">
      <c r="B83" s="49" t="s">
        <v>87</v>
      </c>
      <c r="C83" s="193">
        <f>+'Draft-BS'!C85</f>
        <v>760000000</v>
      </c>
      <c r="D83" s="39"/>
      <c r="E83" s="193">
        <v>760000000</v>
      </c>
      <c r="F83" s="39"/>
    </row>
    <row r="84" spans="2:6" x14ac:dyDescent="0.45">
      <c r="B84" s="49" t="s">
        <v>517</v>
      </c>
      <c r="C84" s="193">
        <f>+'Draft-BS'!C89</f>
        <v>3000000000</v>
      </c>
      <c r="D84" s="39"/>
      <c r="E84" s="194">
        <v>0</v>
      </c>
      <c r="F84" s="39"/>
    </row>
    <row r="85" spans="2:6" x14ac:dyDescent="0.45">
      <c r="B85" s="49" t="s">
        <v>88</v>
      </c>
      <c r="C85" s="193">
        <f>+'Draft-BS'!C82</f>
        <v>21373945045</v>
      </c>
      <c r="D85" s="39"/>
      <c r="E85" s="193">
        <v>22140692180</v>
      </c>
      <c r="F85" s="39"/>
    </row>
    <row r="86" spans="2:6" x14ac:dyDescent="0.45">
      <c r="B86" s="49" t="s">
        <v>89</v>
      </c>
      <c r="C86" s="193">
        <f>+'Draft-BS'!C86</f>
        <v>6313585243</v>
      </c>
      <c r="D86" s="39"/>
      <c r="E86" s="193">
        <v>4345311188</v>
      </c>
      <c r="F86" s="39"/>
    </row>
    <row r="87" spans="2:6" x14ac:dyDescent="0.45">
      <c r="B87" s="49" t="s">
        <v>90</v>
      </c>
      <c r="C87" s="193">
        <f>+'Draft-BS'!C87</f>
        <v>3569671070</v>
      </c>
      <c r="D87" s="39"/>
      <c r="E87" s="193">
        <v>3002453721</v>
      </c>
      <c r="F87" s="39"/>
    </row>
    <row r="88" spans="2:6" x14ac:dyDescent="0.45">
      <c r="B88" s="49" t="s">
        <v>91</v>
      </c>
      <c r="C88" s="195">
        <f>+'Draft-BS'!C88</f>
        <v>260027738</v>
      </c>
      <c r="D88" s="193">
        <f>+SUM(C81:C88)</f>
        <v>69517229096</v>
      </c>
      <c r="E88" s="195">
        <v>323792601</v>
      </c>
      <c r="F88" s="193">
        <v>64312249690</v>
      </c>
    </row>
    <row r="89" spans="2:6" x14ac:dyDescent="0.45">
      <c r="B89" s="49"/>
      <c r="C89" s="141"/>
      <c r="D89" s="39"/>
      <c r="E89" s="39"/>
      <c r="F89" s="39"/>
    </row>
    <row r="90" spans="2:6" ht="34.5" thickBot="1" x14ac:dyDescent="0.55000000000000004">
      <c r="B90" s="49"/>
      <c r="C90" s="141"/>
      <c r="D90" s="197">
        <f>+SUM(D88:D89)</f>
        <v>69517229096</v>
      </c>
      <c r="E90" s="143"/>
      <c r="F90" s="197">
        <f>+SUM(F88:F89)</f>
        <v>64312249690</v>
      </c>
    </row>
    <row r="91" spans="2:6" ht="33.75" thickTop="1" x14ac:dyDescent="0.45">
      <c r="B91" s="49"/>
      <c r="C91" s="141"/>
      <c r="D91" s="39"/>
      <c r="E91" s="39"/>
      <c r="F91" s="39"/>
    </row>
    <row r="92" spans="2:6" ht="33.75" x14ac:dyDescent="0.5">
      <c r="B92" s="50" t="s">
        <v>247</v>
      </c>
      <c r="C92" s="142"/>
      <c r="D92" s="143"/>
      <c r="E92" s="39"/>
      <c r="F92" s="39"/>
    </row>
    <row r="93" spans="2:6" x14ac:dyDescent="0.45">
      <c r="C93" s="139"/>
      <c r="D93" s="140"/>
      <c r="E93" s="39"/>
      <c r="F93" s="39"/>
    </row>
    <row r="94" spans="2:6" x14ac:dyDescent="0.45">
      <c r="B94" s="49" t="s">
        <v>453</v>
      </c>
      <c r="C94" s="141"/>
      <c r="D94" s="222">
        <f>+'Draft-BS'!D92</f>
        <v>17500000</v>
      </c>
      <c r="E94" s="39"/>
      <c r="F94" s="193">
        <v>17500000</v>
      </c>
    </row>
    <row r="95" spans="2:6" x14ac:dyDescent="0.45">
      <c r="B95" s="49" t="s">
        <v>93</v>
      </c>
      <c r="C95" s="141"/>
      <c r="D95" s="222">
        <f>+'Draft-BS'!C102</f>
        <v>58257843.630000003</v>
      </c>
      <c r="E95" s="39"/>
      <c r="F95" s="193">
        <v>67580149.400000006</v>
      </c>
    </row>
    <row r="96" spans="2:6" x14ac:dyDescent="0.45">
      <c r="B96" s="49" t="s">
        <v>94</v>
      </c>
      <c r="C96" s="141"/>
      <c r="D96" s="222">
        <f>+'Draft-BS'!C103</f>
        <v>327225476.41000003</v>
      </c>
      <c r="E96" s="39"/>
      <c r="F96" s="193">
        <v>139375406.5</v>
      </c>
    </row>
    <row r="97" spans="2:6" x14ac:dyDescent="0.45">
      <c r="B97" s="49" t="s">
        <v>37</v>
      </c>
      <c r="C97" s="141"/>
      <c r="D97" s="222">
        <f>+'Draft-BS'!C105</f>
        <v>113151754.36</v>
      </c>
      <c r="E97" s="39"/>
      <c r="F97" s="193">
        <v>53174133.359999999</v>
      </c>
    </row>
    <row r="98" spans="2:6" x14ac:dyDescent="0.45">
      <c r="B98" s="49" t="s">
        <v>96</v>
      </c>
      <c r="C98" s="141"/>
      <c r="D98" s="225">
        <f>+'Draft-BS'!C106</f>
        <v>0</v>
      </c>
      <c r="E98" s="39"/>
      <c r="F98" s="198">
        <v>5000000</v>
      </c>
    </row>
    <row r="99" spans="2:6" x14ac:dyDescent="0.45">
      <c r="B99" s="49" t="s">
        <v>97</v>
      </c>
      <c r="C99" s="141"/>
      <c r="D99" s="223">
        <f>+'Draft-BS'!C116</f>
        <v>7222608</v>
      </c>
      <c r="E99" s="39"/>
      <c r="F99" s="198">
        <v>6900131</v>
      </c>
    </row>
    <row r="100" spans="2:6" x14ac:dyDescent="0.45">
      <c r="B100" s="49" t="s">
        <v>98</v>
      </c>
      <c r="C100" s="141"/>
      <c r="D100" s="222">
        <f>+'Draft-BS'!C108</f>
        <v>55554845.380000003</v>
      </c>
      <c r="E100" s="39"/>
      <c r="F100" s="193">
        <v>55428445.380000003</v>
      </c>
    </row>
    <row r="101" spans="2:6" x14ac:dyDescent="0.45">
      <c r="B101" s="49" t="s">
        <v>99</v>
      </c>
      <c r="C101" s="141"/>
      <c r="D101" s="223">
        <f>+'Draft-BS'!C118</f>
        <v>2512686.88</v>
      </c>
      <c r="E101" s="39"/>
      <c r="F101" s="198">
        <v>6002708.4100000001</v>
      </c>
    </row>
    <row r="102" spans="2:6" s="257" customFormat="1" x14ac:dyDescent="0.45">
      <c r="B102" s="254" t="s">
        <v>508</v>
      </c>
      <c r="C102" s="255"/>
      <c r="D102" s="256">
        <f>+'Draft-BS'!C117</f>
        <v>35778132.32</v>
      </c>
      <c r="E102" s="160"/>
      <c r="F102" s="242">
        <v>0</v>
      </c>
    </row>
    <row r="103" spans="2:6" x14ac:dyDescent="0.45">
      <c r="B103" s="49" t="s">
        <v>100</v>
      </c>
      <c r="C103" s="141"/>
      <c r="D103" s="222">
        <f>+'Draft-BS'!C111</f>
        <v>1096255878.6800001</v>
      </c>
      <c r="E103" s="39"/>
      <c r="F103" s="193">
        <v>1022466400</v>
      </c>
    </row>
    <row r="104" spans="2:6" x14ac:dyDescent="0.45">
      <c r="B104" s="53" t="s">
        <v>101</v>
      </c>
      <c r="C104" s="147"/>
      <c r="D104" s="259">
        <f>+'Draft-BS'!C110</f>
        <v>72877</v>
      </c>
      <c r="E104" s="42"/>
      <c r="F104" s="193">
        <v>27445654</v>
      </c>
    </row>
    <row r="105" spans="2:6" x14ac:dyDescent="0.45">
      <c r="B105" s="53" t="s">
        <v>104</v>
      </c>
      <c r="C105" s="147"/>
      <c r="D105" s="222">
        <f>+'Draft-BS'!C112</f>
        <v>466635354.77999997</v>
      </c>
      <c r="E105" s="42"/>
      <c r="F105" s="193">
        <v>350635354.77999997</v>
      </c>
    </row>
    <row r="106" spans="2:6" x14ac:dyDescent="0.45">
      <c r="B106" s="53" t="s">
        <v>468</v>
      </c>
      <c r="C106" s="147"/>
      <c r="D106" s="223">
        <f>'Draft-BS'!C109</f>
        <v>37639307.68</v>
      </c>
      <c r="E106" s="42"/>
      <c r="F106" s="198">
        <v>9177643</v>
      </c>
    </row>
    <row r="107" spans="2:6" x14ac:dyDescent="0.45">
      <c r="B107" s="53" t="s">
        <v>38</v>
      </c>
      <c r="C107" s="147"/>
      <c r="D107" s="222">
        <f>+'Draft-BS'!C113</f>
        <v>36470895.68</v>
      </c>
      <c r="E107" s="42"/>
      <c r="F107" s="193">
        <v>17331455.68</v>
      </c>
    </row>
    <row r="108" spans="2:6" x14ac:dyDescent="0.45">
      <c r="B108" s="53" t="s">
        <v>102</v>
      </c>
      <c r="C108" s="147"/>
      <c r="D108" s="223">
        <f>+'Draft-BS'!C114</f>
        <v>688735</v>
      </c>
      <c r="E108" s="42"/>
      <c r="F108" s="198">
        <v>688735</v>
      </c>
    </row>
    <row r="109" spans="2:6" x14ac:dyDescent="0.45">
      <c r="B109" s="53" t="s">
        <v>103</v>
      </c>
      <c r="C109" s="147"/>
      <c r="D109" s="222">
        <f>+'Draft-BS'!C115</f>
        <v>786000000</v>
      </c>
      <c r="E109" s="42"/>
      <c r="F109" s="193">
        <v>525250000</v>
      </c>
    </row>
    <row r="110" spans="2:6" ht="34.5" thickBot="1" x14ac:dyDescent="0.55000000000000004">
      <c r="B110" s="49"/>
      <c r="C110" s="142"/>
      <c r="D110" s="224">
        <f>+SUM(D94:D109)</f>
        <v>3040966395.8000002</v>
      </c>
      <c r="E110" s="39"/>
      <c r="F110" s="197">
        <v>2303956215.5100002</v>
      </c>
    </row>
    <row r="111" spans="2:6" ht="33.75" thickTop="1" x14ac:dyDescent="0.45">
      <c r="B111" s="49"/>
      <c r="C111" s="141"/>
      <c r="D111" s="39"/>
      <c r="E111" s="39"/>
      <c r="F111" s="39"/>
    </row>
    <row r="112" spans="2:6" ht="33.75" x14ac:dyDescent="0.5">
      <c r="B112" s="50" t="s">
        <v>105</v>
      </c>
      <c r="C112" s="142"/>
      <c r="D112" s="143"/>
      <c r="E112" s="39"/>
      <c r="F112" s="39"/>
    </row>
    <row r="113" spans="2:6" x14ac:dyDescent="0.45">
      <c r="B113" s="49" t="s">
        <v>106</v>
      </c>
      <c r="C113" s="141"/>
      <c r="D113" s="193">
        <f>+'Draft-BS'!H9</f>
        <v>140201372</v>
      </c>
      <c r="E113" s="39"/>
      <c r="F113" s="193">
        <v>360592810</v>
      </c>
    </row>
    <row r="114" spans="2:6" x14ac:dyDescent="0.45">
      <c r="B114" s="49"/>
      <c r="C114" s="141"/>
      <c r="D114" s="39"/>
      <c r="E114" s="39"/>
      <c r="F114" s="39"/>
    </row>
    <row r="115" spans="2:6" x14ac:dyDescent="0.45">
      <c r="B115" s="48" t="s">
        <v>112</v>
      </c>
      <c r="C115" s="139"/>
      <c r="D115" s="140"/>
      <c r="E115" s="39"/>
      <c r="F115" s="39"/>
    </row>
    <row r="116" spans="2:6" x14ac:dyDescent="0.45">
      <c r="B116" s="49" t="s">
        <v>107</v>
      </c>
      <c r="C116" s="193">
        <f>+'Draft-BS'!H10</f>
        <v>14294213231.93</v>
      </c>
      <c r="D116" s="39"/>
      <c r="E116" s="193">
        <v>11500560984.540001</v>
      </c>
      <c r="F116" s="39"/>
    </row>
    <row r="117" spans="2:6" x14ac:dyDescent="0.45">
      <c r="B117" s="49" t="s">
        <v>108</v>
      </c>
      <c r="C117" s="198">
        <f>+'Draft-BS'!H11</f>
        <v>1891960.34</v>
      </c>
      <c r="D117" s="39"/>
      <c r="E117" s="201">
        <v>456438.2</v>
      </c>
      <c r="F117" s="39"/>
    </row>
    <row r="118" spans="2:6" x14ac:dyDescent="0.45">
      <c r="B118" s="49" t="s">
        <v>476</v>
      </c>
      <c r="C118" s="198">
        <f>+'Draft-BS'!H12</f>
        <v>686953.61</v>
      </c>
      <c r="D118" s="39"/>
      <c r="E118" s="198">
        <v>4748571.7300000004</v>
      </c>
      <c r="F118" s="39"/>
    </row>
    <row r="119" spans="2:6" x14ac:dyDescent="0.45">
      <c r="B119" s="49" t="s">
        <v>477</v>
      </c>
      <c r="C119" s="198">
        <f>+'Draft-BS'!H16</f>
        <v>80500000</v>
      </c>
      <c r="D119" s="39"/>
      <c r="E119" s="198">
        <v>1985840</v>
      </c>
      <c r="F119" s="39"/>
    </row>
    <row r="120" spans="2:6" x14ac:dyDescent="0.45">
      <c r="B120" s="49" t="s">
        <v>109</v>
      </c>
      <c r="C120" s="193">
        <f>+'Draft-BS'!H13</f>
        <v>98446805.579999998</v>
      </c>
      <c r="D120" s="39"/>
      <c r="E120" s="193">
        <v>108829009.91</v>
      </c>
      <c r="F120" s="39"/>
    </row>
    <row r="121" spans="2:6" x14ac:dyDescent="0.45">
      <c r="B121" s="49" t="s">
        <v>110</v>
      </c>
      <c r="C121" s="198">
        <f>+'Draft-BS'!H14</f>
        <v>100000</v>
      </c>
      <c r="D121" s="39"/>
      <c r="E121" s="198">
        <v>100000</v>
      </c>
      <c r="F121" s="39"/>
    </row>
    <row r="122" spans="2:6" x14ac:dyDescent="0.45">
      <c r="B122" s="49" t="s">
        <v>518</v>
      </c>
      <c r="C122" s="198">
        <f>+'Draft-BS'!H17</f>
        <v>198800000</v>
      </c>
      <c r="D122" s="39"/>
      <c r="E122" s="194">
        <v>0</v>
      </c>
      <c r="F122" s="39"/>
    </row>
    <row r="123" spans="2:6" x14ac:dyDescent="0.45">
      <c r="B123" s="49" t="s">
        <v>111</v>
      </c>
      <c r="C123" s="200">
        <f>+'Draft-BS'!H15</f>
        <v>162953.1</v>
      </c>
      <c r="D123" s="193">
        <f>+SUM(C116:C123)</f>
        <v>14674801904.560001</v>
      </c>
      <c r="E123" s="200">
        <v>4163018</v>
      </c>
      <c r="F123" s="193">
        <v>11620843863.380001</v>
      </c>
    </row>
    <row r="124" spans="2:6" x14ac:dyDescent="0.45">
      <c r="B124" s="49"/>
      <c r="C124" s="141"/>
      <c r="D124" s="39"/>
      <c r="E124" s="39"/>
      <c r="F124" s="39"/>
    </row>
    <row r="125" spans="2:6" ht="34.5" thickBot="1" x14ac:dyDescent="0.55000000000000004">
      <c r="B125" s="49"/>
      <c r="C125" s="141"/>
      <c r="D125" s="197">
        <f>+SUM(D113:D123)</f>
        <v>14815003276.560001</v>
      </c>
      <c r="E125" s="39"/>
      <c r="F125" s="197">
        <f>+SUM(F113:F123)</f>
        <v>11981436673.380001</v>
      </c>
    </row>
    <row r="126" spans="2:6" ht="33.75" thickTop="1" x14ac:dyDescent="0.45">
      <c r="B126" s="49"/>
      <c r="C126" s="141"/>
      <c r="D126" s="39"/>
      <c r="E126" s="39"/>
      <c r="F126" s="39"/>
    </row>
    <row r="127" spans="2:6" ht="33.75" x14ac:dyDescent="0.5">
      <c r="B127" s="50" t="s">
        <v>113</v>
      </c>
      <c r="C127" s="142"/>
      <c r="D127" s="143"/>
      <c r="E127" s="39"/>
      <c r="F127" s="39"/>
    </row>
    <row r="128" spans="2:6" x14ac:dyDescent="0.45">
      <c r="B128" s="48" t="s">
        <v>116</v>
      </c>
      <c r="C128" s="139"/>
      <c r="D128" s="140"/>
      <c r="E128" s="39" t="s">
        <v>2</v>
      </c>
      <c r="F128" s="39"/>
    </row>
    <row r="129" spans="2:6" x14ac:dyDescent="0.45">
      <c r="B129" s="49" t="s">
        <v>114</v>
      </c>
      <c r="C129" s="193">
        <f>+'Draft-BS'!H23</f>
        <v>4267621153</v>
      </c>
      <c r="D129" s="193">
        <f>+C129</f>
        <v>4267621153</v>
      </c>
      <c r="E129" s="193">
        <v>10965122293</v>
      </c>
      <c r="F129" s="193">
        <v>10965122293</v>
      </c>
    </row>
    <row r="130" spans="2:6" x14ac:dyDescent="0.45">
      <c r="B130" s="49" t="s">
        <v>115</v>
      </c>
      <c r="C130" s="195">
        <f>+'Draft-BS'!H24</f>
        <v>4376090000</v>
      </c>
      <c r="D130" s="39"/>
      <c r="E130" s="195">
        <v>11174570000</v>
      </c>
      <c r="F130" s="39"/>
    </row>
    <row r="131" spans="2:6" x14ac:dyDescent="0.45">
      <c r="B131" s="48" t="s">
        <v>117</v>
      </c>
      <c r="C131" s="141" t="str">
        <f>+'Draft-BS'!H25</f>
        <v xml:space="preserve"> </v>
      </c>
      <c r="D131" s="140"/>
      <c r="E131" s="141" t="s">
        <v>2</v>
      </c>
      <c r="F131" s="39"/>
    </row>
    <row r="132" spans="2:6" x14ac:dyDescent="0.45">
      <c r="B132" s="49" t="s">
        <v>114</v>
      </c>
      <c r="C132" s="193">
        <f>+'Draft-BS'!H26</f>
        <v>14258415728.17</v>
      </c>
      <c r="D132" s="193">
        <f>+C132</f>
        <v>14258415728.17</v>
      </c>
      <c r="E132" s="193">
        <v>16314642495.67</v>
      </c>
      <c r="F132" s="193">
        <v>16314642495.67</v>
      </c>
    </row>
    <row r="133" spans="2:6" x14ac:dyDescent="0.45">
      <c r="B133" s="49" t="s">
        <v>115</v>
      </c>
      <c r="C133" s="195">
        <f>+'Draft-BS'!H27</f>
        <v>13902050000</v>
      </c>
      <c r="D133" s="39"/>
      <c r="E133" s="195">
        <v>15902050000</v>
      </c>
      <c r="F133" s="39"/>
    </row>
    <row r="134" spans="2:6" x14ac:dyDescent="0.45">
      <c r="B134" s="48" t="s">
        <v>118</v>
      </c>
      <c r="C134" s="141" t="str">
        <f>+'Draft-BS'!H28</f>
        <v xml:space="preserve"> </v>
      </c>
      <c r="D134" s="140"/>
      <c r="E134" s="141" t="s">
        <v>2</v>
      </c>
      <c r="F134" s="39"/>
    </row>
    <row r="135" spans="2:6" x14ac:dyDescent="0.45">
      <c r="B135" s="49" t="s">
        <v>114</v>
      </c>
      <c r="C135" s="198">
        <f>+'Draft-BS'!H29</f>
        <v>151560000</v>
      </c>
      <c r="D135" s="198">
        <f>+C135</f>
        <v>151560000</v>
      </c>
      <c r="E135" s="198">
        <v>151566000</v>
      </c>
      <c r="F135" s="198">
        <v>151566000</v>
      </c>
    </row>
    <row r="136" spans="2:6" x14ac:dyDescent="0.45">
      <c r="B136" s="49" t="s">
        <v>115</v>
      </c>
      <c r="C136" s="200">
        <f>+'Draft-BS'!H30</f>
        <v>151560000</v>
      </c>
      <c r="D136" s="39"/>
      <c r="E136" s="200">
        <v>151566000</v>
      </c>
      <c r="F136" s="39"/>
    </row>
    <row r="137" spans="2:6" x14ac:dyDescent="0.45">
      <c r="B137" s="48" t="s">
        <v>119</v>
      </c>
      <c r="C137" s="141" t="str">
        <f>+'Draft-BS'!H31</f>
        <v xml:space="preserve"> </v>
      </c>
      <c r="D137" s="140"/>
      <c r="E137" s="141" t="s">
        <v>2</v>
      </c>
      <c r="F137" s="39"/>
    </row>
    <row r="138" spans="2:6" x14ac:dyDescent="0.45">
      <c r="B138" s="49" t="s">
        <v>114</v>
      </c>
      <c r="C138" s="193">
        <f>+'Draft-BS'!H32</f>
        <v>7953425000</v>
      </c>
      <c r="D138" s="193">
        <f>+C138</f>
        <v>7953425000</v>
      </c>
      <c r="E138" s="193">
        <v>6715675000</v>
      </c>
      <c r="F138" s="193">
        <v>6715675000</v>
      </c>
    </row>
    <row r="139" spans="2:6" x14ac:dyDescent="0.45">
      <c r="B139" s="49" t="s">
        <v>115</v>
      </c>
      <c r="C139" s="195">
        <f>+'Draft-BS'!H33</f>
        <v>7880000000</v>
      </c>
      <c r="D139" s="39"/>
      <c r="E139" s="193">
        <v>6580000000</v>
      </c>
      <c r="F139" s="39"/>
    </row>
    <row r="140" spans="2:6" x14ac:dyDescent="0.45">
      <c r="B140" s="49"/>
      <c r="C140" s="141"/>
      <c r="D140" s="39"/>
      <c r="E140" s="39"/>
      <c r="F140" s="39"/>
    </row>
    <row r="141" spans="2:6" ht="34.5" thickBot="1" x14ac:dyDescent="0.55000000000000004">
      <c r="B141" s="49"/>
      <c r="C141" s="141"/>
      <c r="D141" s="197">
        <f>+SUM(D129:D139)</f>
        <v>26631021881.169998</v>
      </c>
      <c r="E141" s="39"/>
      <c r="F141" s="197">
        <f>+SUM(F129:F139)</f>
        <v>34147005788.669998</v>
      </c>
    </row>
    <row r="142" spans="2:6" ht="33.75" thickTop="1" x14ac:dyDescent="0.45">
      <c r="B142" s="51"/>
      <c r="C142" s="144"/>
      <c r="D142" s="40"/>
      <c r="E142" s="40"/>
      <c r="F142" s="40"/>
    </row>
    <row r="143" spans="2:6" ht="33.75" x14ac:dyDescent="0.5">
      <c r="B143" s="54" t="s">
        <v>120</v>
      </c>
      <c r="C143" s="148"/>
      <c r="D143" s="149"/>
      <c r="E143" s="41"/>
      <c r="F143" s="41"/>
    </row>
    <row r="144" spans="2:6" x14ac:dyDescent="0.45">
      <c r="B144" s="48" t="s">
        <v>133</v>
      </c>
      <c r="C144" s="139"/>
      <c r="D144" s="140"/>
      <c r="E144" s="39"/>
      <c r="F144" s="39"/>
    </row>
    <row r="145" spans="2:6" x14ac:dyDescent="0.45">
      <c r="B145" s="49" t="s">
        <v>121</v>
      </c>
      <c r="C145" s="240">
        <f>+'Draft-BS'!H37</f>
        <v>48498714000</v>
      </c>
      <c r="D145" s="39"/>
      <c r="E145" s="193">
        <v>48523122000</v>
      </c>
      <c r="F145" s="39"/>
    </row>
    <row r="146" spans="2:6" x14ac:dyDescent="0.45">
      <c r="B146" s="49" t="s">
        <v>122</v>
      </c>
      <c r="C146" s="240">
        <f>+'Draft-BS'!H38</f>
        <v>1992797000</v>
      </c>
      <c r="D146" s="39"/>
      <c r="E146" s="193">
        <v>1757017000</v>
      </c>
      <c r="F146" s="39"/>
    </row>
    <row r="147" spans="2:6" x14ac:dyDescent="0.45">
      <c r="B147" s="49" t="s">
        <v>123</v>
      </c>
      <c r="C147" s="240">
        <f>+'Draft-BS'!H39</f>
        <v>3012166000</v>
      </c>
      <c r="D147" s="39"/>
      <c r="E147" s="193">
        <v>2774745200</v>
      </c>
      <c r="F147" s="39"/>
    </row>
    <row r="148" spans="2:6" x14ac:dyDescent="0.45">
      <c r="B148" s="49" t="s">
        <v>248</v>
      </c>
      <c r="C148" s="193">
        <f>+'Draft-BS'!H40</f>
        <v>1069809538.25</v>
      </c>
      <c r="D148" s="39"/>
      <c r="E148" s="193">
        <v>947426553.29999995</v>
      </c>
      <c r="F148" s="39"/>
    </row>
    <row r="149" spans="2:6" x14ac:dyDescent="0.45">
      <c r="B149" s="49" t="s">
        <v>124</v>
      </c>
      <c r="C149" s="193">
        <f>+'Draft-BS'!H41</f>
        <v>187747917.80000001</v>
      </c>
      <c r="D149" s="39"/>
      <c r="E149" s="193">
        <v>130311547</v>
      </c>
      <c r="F149" s="39"/>
    </row>
    <row r="150" spans="2:6" x14ac:dyDescent="0.45">
      <c r="B150" s="49" t="s">
        <v>125</v>
      </c>
      <c r="C150" s="193">
        <f>+'Draft-BS'!H42</f>
        <v>3293209517.5700002</v>
      </c>
      <c r="D150" s="39"/>
      <c r="E150" s="193">
        <v>3331873936.3400002</v>
      </c>
      <c r="F150" s="39"/>
    </row>
    <row r="151" spans="2:6" x14ac:dyDescent="0.45">
      <c r="B151" s="49" t="s">
        <v>126</v>
      </c>
      <c r="C151" s="193">
        <f>+'Draft-BS'!H43</f>
        <v>30860000</v>
      </c>
      <c r="D151" s="39"/>
      <c r="E151" s="193">
        <v>35476406</v>
      </c>
      <c r="F151" s="39"/>
    </row>
    <row r="152" spans="2:6" x14ac:dyDescent="0.45">
      <c r="B152" s="49" t="s">
        <v>127</v>
      </c>
      <c r="C152" s="198">
        <f>+'Draft-BS'!H45</f>
        <v>7208177</v>
      </c>
      <c r="D152" s="39"/>
      <c r="E152" s="198">
        <v>5640482</v>
      </c>
      <c r="F152" s="39"/>
    </row>
    <row r="153" spans="2:6" x14ac:dyDescent="0.45">
      <c r="B153" s="49" t="s">
        <v>128</v>
      </c>
      <c r="C153" s="39">
        <f>+'Draft-BS'!H47</f>
        <v>0</v>
      </c>
      <c r="D153" s="193">
        <f>+SUM(C145:C153)</f>
        <v>58092512150.620003</v>
      </c>
      <c r="E153" s="202">
        <v>32563</v>
      </c>
      <c r="F153" s="193">
        <v>57505645686.639999</v>
      </c>
    </row>
    <row r="154" spans="2:6" x14ac:dyDescent="0.45">
      <c r="B154" s="49"/>
      <c r="C154" s="150"/>
      <c r="D154" s="39"/>
      <c r="E154" s="41"/>
      <c r="F154" s="39"/>
    </row>
    <row r="155" spans="2:6" x14ac:dyDescent="0.45">
      <c r="B155" s="48" t="s">
        <v>134</v>
      </c>
      <c r="C155" s="139"/>
      <c r="D155" s="140"/>
      <c r="E155" s="39"/>
      <c r="F155" s="39"/>
    </row>
    <row r="156" spans="2:6" x14ac:dyDescent="0.45">
      <c r="B156" s="49" t="s">
        <v>129</v>
      </c>
      <c r="C156" s="198">
        <f>+'Draft-BS'!H50</f>
        <v>18493303.579999998</v>
      </c>
      <c r="D156" s="39"/>
      <c r="E156" s="198">
        <v>4522142.58</v>
      </c>
      <c r="F156" s="39"/>
    </row>
    <row r="157" spans="2:6" x14ac:dyDescent="0.45">
      <c r="B157" s="49" t="s">
        <v>130</v>
      </c>
      <c r="C157" s="193">
        <f>+'Draft-BS'!H51</f>
        <v>19342856.039999999</v>
      </c>
      <c r="D157" s="39"/>
      <c r="E157" s="193">
        <v>19367738.039999999</v>
      </c>
      <c r="F157" s="39"/>
    </row>
    <row r="158" spans="2:6" x14ac:dyDescent="0.45">
      <c r="B158" s="49" t="s">
        <v>490</v>
      </c>
      <c r="C158" s="194">
        <f>+'Draft-BS'!H52</f>
        <v>0</v>
      </c>
      <c r="D158" s="39"/>
      <c r="E158" s="193">
        <v>280000000</v>
      </c>
      <c r="F158" s="39"/>
    </row>
    <row r="159" spans="2:6" x14ac:dyDescent="0.45">
      <c r="B159" s="49" t="s">
        <v>491</v>
      </c>
      <c r="C159" s="194">
        <f>+'Draft-BS'!H53</f>
        <v>0</v>
      </c>
      <c r="D159" s="39"/>
      <c r="E159" s="198">
        <v>2004056163</v>
      </c>
      <c r="F159" s="39"/>
    </row>
    <row r="160" spans="2:6" x14ac:dyDescent="0.45">
      <c r="B160" s="49" t="s">
        <v>131</v>
      </c>
      <c r="C160" s="193">
        <f>+'Draft-BS'!H54</f>
        <v>11761225118</v>
      </c>
      <c r="D160" s="39"/>
      <c r="E160" s="193">
        <v>3471478745</v>
      </c>
      <c r="F160" s="39"/>
    </row>
    <row r="161" spans="2:6" x14ac:dyDescent="0.45">
      <c r="B161" s="49" t="s">
        <v>132</v>
      </c>
      <c r="C161" s="193">
        <f>+'Draft-BS'!H55</f>
        <v>8000000000</v>
      </c>
      <c r="D161" s="39"/>
      <c r="E161" s="193">
        <v>8000000000</v>
      </c>
      <c r="F161" s="39"/>
    </row>
    <row r="162" spans="2:6" x14ac:dyDescent="0.45">
      <c r="B162" s="49"/>
      <c r="C162" s="203">
        <v>0</v>
      </c>
      <c r="D162" s="193">
        <f>+SUM(C156:C162)</f>
        <v>19799061277.620003</v>
      </c>
      <c r="E162" s="203">
        <v>0</v>
      </c>
      <c r="F162" s="193">
        <v>13779424788.619999</v>
      </c>
    </row>
    <row r="163" spans="2:6" x14ac:dyDescent="0.45">
      <c r="B163" s="49"/>
      <c r="C163" s="141"/>
      <c r="D163" s="193"/>
      <c r="E163" s="39"/>
      <c r="F163" s="39"/>
    </row>
    <row r="164" spans="2:6" x14ac:dyDescent="0.45">
      <c r="B164" s="48" t="s">
        <v>156</v>
      </c>
      <c r="C164" s="139"/>
      <c r="D164" s="140"/>
      <c r="E164" s="39"/>
      <c r="F164" s="39"/>
    </row>
    <row r="165" spans="2:6" x14ac:dyDescent="0.45">
      <c r="B165" s="49" t="s">
        <v>73</v>
      </c>
      <c r="C165" s="198">
        <f>+'Draft-BS'!H57</f>
        <v>209579.61</v>
      </c>
      <c r="D165" s="39"/>
      <c r="E165" s="198">
        <v>281964.96999999997</v>
      </c>
      <c r="F165" s="39"/>
    </row>
    <row r="166" spans="2:6" x14ac:dyDescent="0.45">
      <c r="B166" s="49" t="s">
        <v>155</v>
      </c>
      <c r="C166" s="193">
        <f>+'Draft-BS'!H60</f>
        <v>184441961.31999999</v>
      </c>
      <c r="D166" s="39"/>
      <c r="E166" s="193">
        <v>185553567.44</v>
      </c>
      <c r="F166" s="39"/>
    </row>
    <row r="167" spans="2:6" x14ac:dyDescent="0.45">
      <c r="B167" s="49" t="s">
        <v>75</v>
      </c>
      <c r="C167" s="198">
        <f>+'Draft-BS'!H59</f>
        <v>2605226.36</v>
      </c>
      <c r="D167" s="39"/>
      <c r="E167" s="198">
        <v>1653203.68</v>
      </c>
      <c r="F167" s="39"/>
    </row>
    <row r="168" spans="2:6" x14ac:dyDescent="0.45">
      <c r="B168" s="69" t="s">
        <v>249</v>
      </c>
      <c r="C168" s="200">
        <f>+'Draft-BS'!H58</f>
        <v>10776296.09</v>
      </c>
      <c r="D168" s="193">
        <f>+SUM(C165:C168)</f>
        <v>198033063.38000003</v>
      </c>
      <c r="E168" s="200">
        <v>2856666.09</v>
      </c>
      <c r="F168" s="193">
        <v>190345402.18000001</v>
      </c>
    </row>
    <row r="169" spans="2:6" x14ac:dyDescent="0.45">
      <c r="B169" s="49"/>
      <c r="C169" s="141"/>
      <c r="D169" s="39"/>
      <c r="E169" s="41"/>
      <c r="F169" s="39"/>
    </row>
    <row r="170" spans="2:6" x14ac:dyDescent="0.45">
      <c r="B170" s="48" t="s">
        <v>157</v>
      </c>
      <c r="C170" s="139"/>
      <c r="D170" s="140"/>
      <c r="E170" s="39"/>
      <c r="F170" s="39"/>
    </row>
    <row r="171" spans="2:6" x14ac:dyDescent="0.45">
      <c r="B171" s="49" t="s">
        <v>135</v>
      </c>
      <c r="C171" s="240">
        <f>+'Draft-BS'!H62</f>
        <v>6312967954</v>
      </c>
      <c r="D171" s="39"/>
      <c r="E171" s="193">
        <v>4344689699</v>
      </c>
      <c r="F171" s="39"/>
    </row>
    <row r="172" spans="2:6" x14ac:dyDescent="0.45">
      <c r="B172" s="49" t="s">
        <v>136</v>
      </c>
      <c r="C172" s="193">
        <f>+'Draft-BS'!H63</f>
        <v>4281227437</v>
      </c>
      <c r="D172" s="39"/>
      <c r="E172" s="193">
        <v>5076196013</v>
      </c>
      <c r="F172" s="39"/>
    </row>
    <row r="173" spans="2:6" x14ac:dyDescent="0.45">
      <c r="B173" s="49" t="s">
        <v>137</v>
      </c>
      <c r="C173" s="193">
        <f>+'Draft-BS'!H64</f>
        <v>3569671070</v>
      </c>
      <c r="D173" s="39"/>
      <c r="E173" s="193">
        <v>3002453721</v>
      </c>
      <c r="F173" s="39"/>
    </row>
    <row r="174" spans="2:6" x14ac:dyDescent="0.45">
      <c r="B174" s="49" t="s">
        <v>138</v>
      </c>
      <c r="C174" s="193">
        <f>+'Draft-BS'!H65</f>
        <v>258571171</v>
      </c>
      <c r="D174" s="39"/>
      <c r="E174" s="193">
        <v>322906919</v>
      </c>
      <c r="F174" s="39"/>
    </row>
    <row r="175" spans="2:6" x14ac:dyDescent="0.45">
      <c r="B175" s="49" t="s">
        <v>139</v>
      </c>
      <c r="C175" s="193">
        <f>+'Draft-BS'!H66</f>
        <v>269340969</v>
      </c>
      <c r="D175" s="39"/>
      <c r="E175" s="193">
        <v>187537999</v>
      </c>
      <c r="F175" s="39"/>
    </row>
    <row r="176" spans="2:6" x14ac:dyDescent="0.45">
      <c r="B176" s="49" t="s">
        <v>140</v>
      </c>
      <c r="C176" s="198">
        <f>+'Draft-BS'!H67</f>
        <v>191920</v>
      </c>
      <c r="D176" s="39"/>
      <c r="E176" s="198">
        <v>189479</v>
      </c>
      <c r="F176" s="39"/>
    </row>
    <row r="177" spans="2:6" x14ac:dyDescent="0.45">
      <c r="B177" s="49" t="s">
        <v>141</v>
      </c>
      <c r="C177" s="198">
        <f>+'Draft-BS'!H68</f>
        <v>291672</v>
      </c>
      <c r="D177" s="39"/>
      <c r="E177" s="198">
        <v>460495</v>
      </c>
      <c r="F177" s="39"/>
    </row>
    <row r="178" spans="2:6" x14ac:dyDescent="0.45">
      <c r="B178" s="49" t="s">
        <v>142</v>
      </c>
      <c r="C178" s="198">
        <f>+'Draft-BS'!H69</f>
        <v>206504</v>
      </c>
      <c r="D178" s="39"/>
      <c r="E178" s="198">
        <v>144604</v>
      </c>
      <c r="F178" s="39"/>
    </row>
    <row r="179" spans="2:6" x14ac:dyDescent="0.45">
      <c r="B179" s="49" t="s">
        <v>143</v>
      </c>
      <c r="C179" s="193">
        <f>+'Draft-BS'!H70</f>
        <v>572204523.80999994</v>
      </c>
      <c r="D179" s="39"/>
      <c r="E179" s="193">
        <v>269069393.37</v>
      </c>
      <c r="F179" s="39"/>
    </row>
    <row r="180" spans="2:6" x14ac:dyDescent="0.45">
      <c r="B180" s="68" t="s">
        <v>250</v>
      </c>
      <c r="C180" s="200">
        <f>+'Draft-BS'!H71</f>
        <v>659471</v>
      </c>
      <c r="D180" s="193">
        <f>+SUM(C171:C180)</f>
        <v>15265332691.809999</v>
      </c>
      <c r="E180" s="200">
        <v>500000</v>
      </c>
      <c r="F180" s="193">
        <v>13204148322.370001</v>
      </c>
    </row>
    <row r="181" spans="2:6" x14ac:dyDescent="0.45">
      <c r="B181" s="68"/>
      <c r="C181" s="198"/>
      <c r="D181" s="39"/>
      <c r="E181" s="41"/>
      <c r="F181" s="39"/>
    </row>
    <row r="182" spans="2:6" x14ac:dyDescent="0.45">
      <c r="B182" s="48" t="s">
        <v>158</v>
      </c>
      <c r="C182" s="198"/>
      <c r="D182" s="140"/>
      <c r="E182" s="39"/>
      <c r="F182" s="39"/>
    </row>
    <row r="183" spans="2:6" x14ac:dyDescent="0.45">
      <c r="B183" s="49" t="s">
        <v>144</v>
      </c>
      <c r="C183" s="198">
        <f>+'Draft-BS'!H78</f>
        <v>11522753</v>
      </c>
      <c r="D183" s="39"/>
      <c r="E183" s="198">
        <v>4616086</v>
      </c>
      <c r="F183" s="39"/>
    </row>
    <row r="184" spans="2:6" x14ac:dyDescent="0.45">
      <c r="B184" s="49" t="s">
        <v>145</v>
      </c>
      <c r="C184" s="193">
        <f>+'Draft-BS'!H73</f>
        <v>343419995.94999999</v>
      </c>
      <c r="D184" s="39"/>
      <c r="E184" s="193">
        <v>248765373</v>
      </c>
      <c r="F184" s="39"/>
    </row>
    <row r="185" spans="2:6" x14ac:dyDescent="0.45">
      <c r="B185" s="49" t="s">
        <v>146</v>
      </c>
      <c r="C185" s="193">
        <f>+'Draft-BS'!H74</f>
        <v>2224300347.4899998</v>
      </c>
      <c r="D185" s="39"/>
      <c r="E185" s="193">
        <v>1641545420.1400001</v>
      </c>
      <c r="F185" s="39"/>
    </row>
    <row r="186" spans="2:6" x14ac:dyDescent="0.45">
      <c r="B186" s="49" t="s">
        <v>147</v>
      </c>
      <c r="C186" s="193">
        <f>+'Draft-BS'!H75</f>
        <v>2925442020.8000002</v>
      </c>
      <c r="D186" s="39"/>
      <c r="E186" s="193">
        <v>2424850159</v>
      </c>
      <c r="F186" s="39"/>
    </row>
    <row r="187" spans="2:6" x14ac:dyDescent="0.45">
      <c r="B187" s="49" t="s">
        <v>148</v>
      </c>
      <c r="C187" s="193">
        <f>+'Draft-BS'!H76</f>
        <v>3209624682.5900002</v>
      </c>
      <c r="D187" s="39"/>
      <c r="E187" s="193">
        <v>2302780858.5</v>
      </c>
      <c r="F187" s="39"/>
    </row>
    <row r="188" spans="2:6" x14ac:dyDescent="0.45">
      <c r="B188" s="49" t="s">
        <v>149</v>
      </c>
      <c r="C188" s="193">
        <f>+'Draft-BS'!H79</f>
        <v>18299304931</v>
      </c>
      <c r="D188" s="39"/>
      <c r="E188" s="193">
        <v>17831858734</v>
      </c>
      <c r="F188" s="39"/>
    </row>
    <row r="189" spans="2:6" x14ac:dyDescent="0.45">
      <c r="B189" s="49" t="s">
        <v>150</v>
      </c>
      <c r="C189" s="195">
        <f>+'Draft-BS'!H77</f>
        <v>41546959</v>
      </c>
      <c r="D189" s="193">
        <f>+SUM(C183:C189)</f>
        <v>27055161689.830002</v>
      </c>
      <c r="E189" s="195">
        <v>28864812</v>
      </c>
      <c r="F189" s="193">
        <v>24483281442.639999</v>
      </c>
    </row>
    <row r="190" spans="2:6" x14ac:dyDescent="0.45">
      <c r="B190" s="49"/>
      <c r="C190" s="141"/>
      <c r="D190" s="39"/>
      <c r="E190" s="39"/>
      <c r="F190" s="39"/>
    </row>
    <row r="191" spans="2:6" x14ac:dyDescent="0.45">
      <c r="B191" s="48" t="s">
        <v>159</v>
      </c>
      <c r="C191" s="139"/>
      <c r="D191" s="140"/>
      <c r="E191" s="39"/>
      <c r="F191" s="39"/>
    </row>
    <row r="192" spans="2:6" x14ac:dyDescent="0.45">
      <c r="B192" s="49" t="s">
        <v>151</v>
      </c>
      <c r="C192" s="194">
        <f>+'Draft-BS'!H81</f>
        <v>0</v>
      </c>
      <c r="D192" s="39"/>
      <c r="E192" s="198">
        <v>529336</v>
      </c>
      <c r="F192" s="39"/>
    </row>
    <row r="193" spans="2:6" x14ac:dyDescent="0.45">
      <c r="B193" s="49" t="s">
        <v>152</v>
      </c>
      <c r="C193" s="198">
        <f>+'Draft-BS'!H82</f>
        <v>8879036</v>
      </c>
      <c r="D193" s="39"/>
      <c r="E193" s="198">
        <v>8879036</v>
      </c>
      <c r="F193" s="39"/>
    </row>
    <row r="194" spans="2:6" x14ac:dyDescent="0.45">
      <c r="B194" s="49" t="s">
        <v>153</v>
      </c>
      <c r="C194" s="194">
        <f>+'Draft-BS'!H83</f>
        <v>0</v>
      </c>
      <c r="D194" s="39"/>
      <c r="E194" s="198">
        <v>533156</v>
      </c>
      <c r="F194" s="39"/>
    </row>
    <row r="195" spans="2:6" x14ac:dyDescent="0.45">
      <c r="B195" s="49" t="s">
        <v>154</v>
      </c>
      <c r="C195" s="203">
        <f>+'Draft-BS'!H84</f>
        <v>0</v>
      </c>
      <c r="D195" s="200">
        <f>+SUM(C192:C195)</f>
        <v>8879036</v>
      </c>
      <c r="E195" s="200">
        <v>514000</v>
      </c>
      <c r="F195" s="193">
        <v>10455528</v>
      </c>
    </row>
    <row r="196" spans="2:6" x14ac:dyDescent="0.45">
      <c r="B196" s="49"/>
      <c r="C196" s="141"/>
      <c r="D196" s="39"/>
      <c r="E196" s="39"/>
      <c r="F196" s="39"/>
    </row>
    <row r="197" spans="2:6" ht="34.5" thickBot="1" x14ac:dyDescent="0.55000000000000004">
      <c r="B197" s="49"/>
      <c r="C197" s="141"/>
      <c r="D197" s="197">
        <f>+SUM(D145:D195)+1</f>
        <v>120418979910.26001</v>
      </c>
      <c r="E197" s="143"/>
      <c r="F197" s="197">
        <f>+SUM(F145:F195)+1</f>
        <v>109173301171.44998</v>
      </c>
    </row>
    <row r="198" spans="2:6" ht="33.75" thickTop="1" x14ac:dyDescent="0.45">
      <c r="B198" s="49"/>
      <c r="C198" s="141"/>
      <c r="D198" s="39"/>
      <c r="E198" s="39"/>
      <c r="F198" s="39"/>
    </row>
    <row r="199" spans="2:6" ht="33.75" x14ac:dyDescent="0.5">
      <c r="B199" s="50" t="s">
        <v>160</v>
      </c>
      <c r="C199" s="142"/>
      <c r="D199" s="143"/>
      <c r="E199" s="39"/>
      <c r="F199" s="39"/>
    </row>
    <row r="200" spans="2:6" x14ac:dyDescent="0.45">
      <c r="B200" s="48" t="s">
        <v>168</v>
      </c>
      <c r="C200" s="139"/>
      <c r="D200" s="140"/>
      <c r="E200" s="39"/>
      <c r="F200" s="39"/>
    </row>
    <row r="201" spans="2:6" x14ac:dyDescent="0.45">
      <c r="B201" s="53" t="s">
        <v>170</v>
      </c>
      <c r="C201" s="228">
        <f>+F208</f>
        <v>928075320</v>
      </c>
      <c r="D201" s="42"/>
      <c r="E201" s="228">
        <v>1186424290</v>
      </c>
      <c r="F201" s="39"/>
    </row>
    <row r="202" spans="2:6" x14ac:dyDescent="0.45">
      <c r="B202" s="53" t="s">
        <v>163</v>
      </c>
      <c r="C202" s="232">
        <f>4790702+1729849</f>
        <v>6520551</v>
      </c>
      <c r="D202" s="42"/>
      <c r="E202" s="228">
        <v>25395988</v>
      </c>
      <c r="F202" s="39"/>
    </row>
    <row r="203" spans="2:6" x14ac:dyDescent="0.45">
      <c r="B203" s="53" t="s">
        <v>530</v>
      </c>
      <c r="C203" s="238">
        <f>19930272-4790702-1729849</f>
        <v>13409721</v>
      </c>
      <c r="D203" s="42"/>
      <c r="E203" s="40">
        <v>0</v>
      </c>
      <c r="F203" s="39"/>
    </row>
    <row r="204" spans="2:6" x14ac:dyDescent="0.45">
      <c r="B204" s="53"/>
      <c r="C204" s="233">
        <f>SUM(C201:C203)</f>
        <v>948005592</v>
      </c>
      <c r="D204" s="42"/>
      <c r="E204" s="228">
        <v>1211820278</v>
      </c>
      <c r="F204" s="39"/>
    </row>
    <row r="205" spans="2:6" x14ac:dyDescent="0.45">
      <c r="B205" s="53" t="s">
        <v>165</v>
      </c>
      <c r="C205" s="232">
        <f>4773832+5171</f>
        <v>4779003</v>
      </c>
      <c r="D205" s="42"/>
      <c r="E205" s="232">
        <v>9854007</v>
      </c>
      <c r="F205" s="39"/>
    </row>
    <row r="206" spans="2:6" x14ac:dyDescent="0.45">
      <c r="B206" s="53" t="s">
        <v>532</v>
      </c>
      <c r="C206" s="232">
        <v>1199001</v>
      </c>
      <c r="D206" s="42"/>
      <c r="E206" s="39">
        <v>0</v>
      </c>
      <c r="F206" s="39"/>
    </row>
    <row r="207" spans="2:6" x14ac:dyDescent="0.45">
      <c r="B207" s="53" t="s">
        <v>486</v>
      </c>
      <c r="C207" s="228">
        <v>100987513</v>
      </c>
      <c r="D207" s="42"/>
      <c r="E207" s="228">
        <v>273890951</v>
      </c>
      <c r="F207" s="39"/>
    </row>
    <row r="208" spans="2:6" x14ac:dyDescent="0.45">
      <c r="B208" s="53"/>
      <c r="C208" s="233">
        <f>SUM(C205:C207)</f>
        <v>106965517</v>
      </c>
      <c r="D208" s="228">
        <f>+C204-C208</f>
        <v>841040075</v>
      </c>
      <c r="E208" s="233">
        <v>283744958</v>
      </c>
      <c r="F208" s="193">
        <v>928075320</v>
      </c>
    </row>
    <row r="209" spans="2:6" x14ac:dyDescent="0.45">
      <c r="B209" s="51"/>
      <c r="C209" s="144"/>
      <c r="D209" s="40"/>
      <c r="E209" s="40"/>
      <c r="F209" s="40"/>
    </row>
    <row r="210" spans="2:6" x14ac:dyDescent="0.45">
      <c r="B210" s="55" t="s">
        <v>167</v>
      </c>
      <c r="C210" s="151"/>
      <c r="D210" s="152"/>
      <c r="E210" s="41"/>
      <c r="F210" s="41"/>
    </row>
    <row r="211" spans="2:6" x14ac:dyDescent="0.45">
      <c r="B211" s="49" t="s">
        <v>170</v>
      </c>
      <c r="C211" s="228">
        <f>+F217</f>
        <v>54538486</v>
      </c>
      <c r="D211" s="42"/>
      <c r="E211" s="228">
        <v>61317075</v>
      </c>
      <c r="F211" s="39"/>
    </row>
    <row r="212" spans="2:6" x14ac:dyDescent="0.45">
      <c r="B212" s="49" t="s">
        <v>163</v>
      </c>
      <c r="C212" s="232">
        <f>23597117+557493</f>
        <v>24154610</v>
      </c>
      <c r="D212" s="42"/>
      <c r="E212" s="232">
        <v>3271110</v>
      </c>
      <c r="F212" s="39"/>
    </row>
    <row r="213" spans="2:6" x14ac:dyDescent="0.45">
      <c r="B213" s="49" t="s">
        <v>164</v>
      </c>
      <c r="C213" s="232">
        <v>261600</v>
      </c>
      <c r="D213" s="42"/>
      <c r="E213" s="232">
        <v>363800</v>
      </c>
      <c r="F213" s="39"/>
    </row>
    <row r="214" spans="2:6" x14ac:dyDescent="0.45">
      <c r="B214" s="49"/>
      <c r="C214" s="233">
        <f>+C211+C212-C213</f>
        <v>78431496</v>
      </c>
      <c r="D214" s="42"/>
      <c r="E214" s="233">
        <v>64224385</v>
      </c>
      <c r="F214" s="39"/>
    </row>
    <row r="215" spans="2:6" x14ac:dyDescent="0.45">
      <c r="B215" s="49" t="s">
        <v>165</v>
      </c>
      <c r="C215" s="232">
        <f>10139123+108679</f>
        <v>10247802</v>
      </c>
      <c r="D215" s="42"/>
      <c r="E215" s="232">
        <v>9685899</v>
      </c>
      <c r="F215" s="39"/>
    </row>
    <row r="216" spans="2:6" x14ac:dyDescent="0.45">
      <c r="B216" s="49" t="s">
        <v>531</v>
      </c>
      <c r="C216" s="232">
        <f>260005+211459</f>
        <v>471464</v>
      </c>
      <c r="D216" s="42"/>
      <c r="E216" s="40">
        <v>0</v>
      </c>
      <c r="F216" s="39"/>
    </row>
    <row r="217" spans="2:6" x14ac:dyDescent="0.45">
      <c r="B217" s="49"/>
      <c r="C217" s="233">
        <f>SUM(C215:C216)</f>
        <v>10719266</v>
      </c>
      <c r="D217" s="228">
        <f>+C214-C217</f>
        <v>67712230</v>
      </c>
      <c r="E217" s="234">
        <v>9685899</v>
      </c>
      <c r="F217" s="193">
        <v>54538486</v>
      </c>
    </row>
    <row r="218" spans="2:6" x14ac:dyDescent="0.45">
      <c r="B218" s="184"/>
      <c r="C218" s="237"/>
      <c r="D218" s="42"/>
      <c r="E218" s="39"/>
      <c r="F218" s="39"/>
    </row>
    <row r="219" spans="2:6" x14ac:dyDescent="0.45">
      <c r="B219" s="185" t="s">
        <v>169</v>
      </c>
      <c r="C219" s="139"/>
      <c r="D219" s="140"/>
      <c r="E219" s="39"/>
      <c r="F219" s="39"/>
    </row>
    <row r="220" spans="2:6" x14ac:dyDescent="0.45">
      <c r="B220" s="184" t="s">
        <v>162</v>
      </c>
      <c r="C220" s="240">
        <f>+F227</f>
        <v>27261741.129999999</v>
      </c>
      <c r="D220" s="39"/>
      <c r="E220" s="240">
        <v>26050981</v>
      </c>
      <c r="F220" s="42"/>
    </row>
    <row r="221" spans="2:6" x14ac:dyDescent="0.45">
      <c r="B221" s="184" t="s">
        <v>163</v>
      </c>
      <c r="C221" s="240">
        <f>34353530+19994783+5330306</f>
        <v>59678619</v>
      </c>
      <c r="D221" s="39"/>
      <c r="E221" s="240">
        <v>18109380</v>
      </c>
      <c r="F221" s="42"/>
    </row>
    <row r="222" spans="2:6" x14ac:dyDescent="0.45">
      <c r="B222" s="184" t="s">
        <v>529</v>
      </c>
      <c r="C222" s="232">
        <f>2350384-298956+42203</f>
        <v>2093631</v>
      </c>
      <c r="D222" s="39"/>
      <c r="E222" s="121">
        <v>0</v>
      </c>
      <c r="F222" s="42"/>
    </row>
    <row r="223" spans="2:6" x14ac:dyDescent="0.45">
      <c r="B223" s="184"/>
      <c r="C223" s="241">
        <f>+C220+C221-C222</f>
        <v>84846729.129999995</v>
      </c>
      <c r="D223" s="239"/>
      <c r="E223" s="241">
        <v>44160361</v>
      </c>
      <c r="F223" s="42"/>
    </row>
    <row r="224" spans="2:6" x14ac:dyDescent="0.45">
      <c r="B224" s="49" t="s">
        <v>528</v>
      </c>
      <c r="C224" s="232">
        <f>8760939</f>
        <v>8760939</v>
      </c>
      <c r="D224" s="239"/>
      <c r="E224" s="42">
        <v>0</v>
      </c>
      <c r="F224" s="42"/>
    </row>
    <row r="225" spans="2:6" x14ac:dyDescent="0.45">
      <c r="B225" s="49" t="s">
        <v>165</v>
      </c>
      <c r="C225" s="240">
        <f>26159650+960</f>
        <v>26160610</v>
      </c>
      <c r="D225" s="39"/>
      <c r="E225" s="240">
        <v>12698620</v>
      </c>
      <c r="F225" s="42"/>
    </row>
    <row r="226" spans="2:6" x14ac:dyDescent="0.45">
      <c r="B226" s="49" t="s">
        <v>166</v>
      </c>
      <c r="C226" s="242">
        <v>0</v>
      </c>
      <c r="D226" s="39"/>
      <c r="E226" s="232">
        <v>4200000</v>
      </c>
      <c r="F226" s="42"/>
    </row>
    <row r="227" spans="2:6" x14ac:dyDescent="0.45">
      <c r="B227" s="49"/>
      <c r="C227" s="241">
        <f>SUM(C224:C226)</f>
        <v>34921549</v>
      </c>
      <c r="D227" s="193">
        <f>+C223-C227</f>
        <v>49925180.129999995</v>
      </c>
      <c r="E227" s="241">
        <v>16898620</v>
      </c>
      <c r="F227" s="193">
        <v>27261741.129999999</v>
      </c>
    </row>
    <row r="228" spans="2:6" s="43" customFormat="1" x14ac:dyDescent="0.45">
      <c r="B228" s="53"/>
      <c r="C228" s="147"/>
      <c r="D228" s="42"/>
      <c r="E228" s="42"/>
      <c r="F228" s="42"/>
    </row>
    <row r="229" spans="2:6" s="43" customFormat="1" x14ac:dyDescent="0.45">
      <c r="B229" s="49" t="s">
        <v>161</v>
      </c>
      <c r="C229" s="141"/>
      <c r="D229" s="39"/>
      <c r="E229" s="42"/>
      <c r="F229" s="42"/>
    </row>
    <row r="230" spans="2:6" s="43" customFormat="1" x14ac:dyDescent="0.45">
      <c r="B230" s="49" t="s">
        <v>170</v>
      </c>
      <c r="C230" s="228">
        <f>+F236</f>
        <v>14154822</v>
      </c>
      <c r="D230" s="39"/>
      <c r="E230" s="228">
        <v>11720734</v>
      </c>
      <c r="F230" s="42"/>
    </row>
    <row r="231" spans="2:6" x14ac:dyDescent="0.45">
      <c r="B231" s="49" t="s">
        <v>163</v>
      </c>
      <c r="C231" s="235">
        <v>0</v>
      </c>
      <c r="D231" s="39"/>
      <c r="E231" s="232">
        <v>6167269</v>
      </c>
      <c r="F231" s="42"/>
    </row>
    <row r="232" spans="2:6" x14ac:dyDescent="0.45">
      <c r="B232" s="49" t="s">
        <v>164</v>
      </c>
      <c r="C232" s="236">
        <v>0</v>
      </c>
      <c r="D232" s="39"/>
      <c r="E232" s="232">
        <v>965384</v>
      </c>
      <c r="F232" s="42"/>
    </row>
    <row r="233" spans="2:6" x14ac:dyDescent="0.45">
      <c r="B233" s="49"/>
      <c r="C233" s="233">
        <f>+C230+C231-C232</f>
        <v>14154822</v>
      </c>
      <c r="D233" s="39"/>
      <c r="E233" s="233">
        <v>16922619</v>
      </c>
      <c r="F233" s="42"/>
    </row>
    <row r="234" spans="2:6" x14ac:dyDescent="0.45">
      <c r="B234" s="49" t="s">
        <v>165</v>
      </c>
      <c r="C234" s="232">
        <v>2830964</v>
      </c>
      <c r="D234" s="39"/>
      <c r="E234" s="232">
        <v>2767797</v>
      </c>
      <c r="F234" s="42"/>
    </row>
    <row r="235" spans="2:6" x14ac:dyDescent="0.45">
      <c r="B235" s="49" t="s">
        <v>166</v>
      </c>
      <c r="C235" s="147"/>
      <c r="D235" s="39"/>
      <c r="E235" s="121"/>
      <c r="F235" s="42"/>
    </row>
    <row r="236" spans="2:6" x14ac:dyDescent="0.45">
      <c r="B236" s="49"/>
      <c r="C236" s="234">
        <f>SUM(C234:C235)</f>
        <v>2830964</v>
      </c>
      <c r="D236" s="193">
        <f>+C233-C236</f>
        <v>11323858</v>
      </c>
      <c r="E236" s="234">
        <v>2767797</v>
      </c>
      <c r="F236" s="193">
        <v>14154822</v>
      </c>
    </row>
    <row r="237" spans="2:6" x14ac:dyDescent="0.45">
      <c r="B237" s="49"/>
      <c r="C237" s="141"/>
      <c r="D237" s="39"/>
      <c r="E237" s="39"/>
      <c r="F237" s="39"/>
    </row>
    <row r="238" spans="2:6" ht="34.5" thickBot="1" x14ac:dyDescent="0.55000000000000004">
      <c r="B238" s="49"/>
      <c r="C238" s="141"/>
      <c r="D238" s="197">
        <f>+SUM(D207:D236)</f>
        <v>970001343.13</v>
      </c>
      <c r="E238" s="143"/>
      <c r="F238" s="197">
        <f>+SUM(F207:F236)</f>
        <v>1024030369.13</v>
      </c>
    </row>
    <row r="239" spans="2:6" ht="33.75" thickTop="1" x14ac:dyDescent="0.45">
      <c r="B239" s="49"/>
      <c r="C239" s="141"/>
      <c r="D239" s="39"/>
      <c r="E239" s="39"/>
      <c r="F239" s="39"/>
    </row>
    <row r="240" spans="2:6" ht="33.75" x14ac:dyDescent="0.5">
      <c r="B240" s="50" t="s">
        <v>171</v>
      </c>
      <c r="C240" s="142"/>
      <c r="D240" s="143"/>
      <c r="E240" s="39"/>
      <c r="F240" s="39"/>
    </row>
    <row r="241" spans="2:6" x14ac:dyDescent="0.45">
      <c r="B241" s="49" t="s">
        <v>172</v>
      </c>
      <c r="C241" s="141"/>
      <c r="D241" s="198">
        <f>+'Draft-BS'!H100</f>
        <v>119056.04</v>
      </c>
      <c r="E241" s="39"/>
      <c r="F241" s="198">
        <v>119056.04</v>
      </c>
    </row>
    <row r="242" spans="2:6" x14ac:dyDescent="0.45">
      <c r="B242" s="49" t="s">
        <v>173</v>
      </c>
      <c r="C242" s="141"/>
      <c r="D242" s="193">
        <f>+'Draft-BS'!H101</f>
        <v>10716672085.610001</v>
      </c>
      <c r="E242" s="39"/>
      <c r="F242" s="193">
        <v>10766774381.93</v>
      </c>
    </row>
    <row r="243" spans="2:6" x14ac:dyDescent="0.45">
      <c r="B243" s="49" t="s">
        <v>174</v>
      </c>
      <c r="C243" s="141"/>
      <c r="D243" s="193">
        <f>+'Draft-BS'!H102</f>
        <v>35778132.32</v>
      </c>
      <c r="E243" s="39"/>
      <c r="F243" s="193">
        <v>35778132.32</v>
      </c>
    </row>
    <row r="244" spans="2:6" x14ac:dyDescent="0.45">
      <c r="B244" s="49" t="s">
        <v>175</v>
      </c>
      <c r="C244" s="141"/>
      <c r="D244" s="194">
        <v>0</v>
      </c>
      <c r="E244" s="39"/>
      <c r="F244" s="198">
        <v>1184692.45</v>
      </c>
    </row>
    <row r="245" spans="2:6" x14ac:dyDescent="0.45">
      <c r="B245" s="49" t="s">
        <v>176</v>
      </c>
      <c r="C245" s="141"/>
      <c r="D245" s="198">
        <f>+'Draft-BS'!H104</f>
        <v>1239207.47</v>
      </c>
      <c r="E245" s="39"/>
      <c r="F245" s="198">
        <v>1239207.47</v>
      </c>
    </row>
    <row r="246" spans="2:6" x14ac:dyDescent="0.45">
      <c r="B246" s="49" t="s">
        <v>177</v>
      </c>
      <c r="C246" s="141"/>
      <c r="D246" s="198">
        <f>+'Draft-BS'!H108</f>
        <v>1500150</v>
      </c>
      <c r="E246" s="39"/>
      <c r="F246" s="198">
        <v>4919190.41</v>
      </c>
    </row>
    <row r="247" spans="2:6" x14ac:dyDescent="0.45">
      <c r="B247" s="49" t="s">
        <v>468</v>
      </c>
      <c r="C247" s="141"/>
      <c r="D247" s="198">
        <f>+'Draft-BS'!H105</f>
        <v>40222315.539999999</v>
      </c>
      <c r="E247" s="39"/>
      <c r="F247" s="232">
        <v>9933472.8499999996</v>
      </c>
    </row>
    <row r="248" spans="2:6" x14ac:dyDescent="0.45">
      <c r="B248" s="49" t="s">
        <v>478</v>
      </c>
      <c r="C248" s="141"/>
      <c r="D248" s="193">
        <f>+'Draft-BS'!H107</f>
        <v>421630137</v>
      </c>
      <c r="E248" s="39"/>
      <c r="F248" s="193">
        <v>421182650</v>
      </c>
    </row>
    <row r="249" spans="2:6" x14ac:dyDescent="0.45">
      <c r="B249" s="49" t="s">
        <v>519</v>
      </c>
      <c r="C249" s="141"/>
      <c r="D249" s="198">
        <f>+'Draft-BS'!H103</f>
        <v>8200000</v>
      </c>
      <c r="E249" s="39"/>
      <c r="F249" s="194">
        <v>0</v>
      </c>
    </row>
    <row r="250" spans="2:6" x14ac:dyDescent="0.45">
      <c r="B250" s="49" t="s">
        <v>178</v>
      </c>
      <c r="C250" s="141"/>
      <c r="D250" s="193">
        <f>+'Draft-BS'!H106</f>
        <v>691357469.75</v>
      </c>
      <c r="E250" s="39"/>
      <c r="F250" s="193">
        <v>447348993.31999999</v>
      </c>
    </row>
    <row r="251" spans="2:6" ht="33.75" thickBot="1" x14ac:dyDescent="0.5">
      <c r="B251" s="51"/>
      <c r="C251" s="144"/>
      <c r="D251" s="196">
        <f>SUM(D241:D250)</f>
        <v>11916718553.730001</v>
      </c>
      <c r="E251" s="40"/>
      <c r="F251" s="196">
        <v>11688479775.790001</v>
      </c>
    </row>
    <row r="252" spans="2:6" ht="33.75" thickTop="1" x14ac:dyDescent="0.45"/>
  </sheetData>
  <mergeCells count="2">
    <mergeCell ref="B2:F2"/>
    <mergeCell ref="B4:F4"/>
  </mergeCells>
  <printOptions horizontalCentered="1"/>
  <pageMargins left="0.70866141732283505" right="0.70866141732283505" top="0.74803149606299202" bottom="0.74803149606299202" header="0" footer="0"/>
  <pageSetup paperSize="9" scale="29" fitToHeight="4" orientation="portrait" r:id="rId1"/>
  <rowBreaks count="3" manualBreakCount="3">
    <brk id="78" min="1" max="5" man="1"/>
    <brk id="142" min="1" max="5" man="1"/>
    <brk id="209" min="1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26"/>
  <sheetViews>
    <sheetView showGridLines="0" topLeftCell="C1" zoomScale="130" zoomScaleNormal="130" workbookViewId="0">
      <pane ySplit="7" topLeftCell="A23" activePane="bottomLeft" state="frozen"/>
      <selection pane="bottomLeft" activeCell="H31" sqref="H31"/>
    </sheetView>
  </sheetViews>
  <sheetFormatPr defaultRowHeight="13.5" x14ac:dyDescent="0.15"/>
  <cols>
    <col min="1" max="1" width="4.375" style="90" customWidth="1"/>
    <col min="2" max="2" width="30.25" style="90" bestFit="1" customWidth="1"/>
    <col min="3" max="4" width="16.5" style="91" bestFit="1" customWidth="1"/>
    <col min="5" max="5" width="18.125" style="91" bestFit="1" customWidth="1"/>
    <col min="6" max="6" width="1.875" style="92" hidden="1" customWidth="1"/>
    <col min="7" max="7" width="30.25" style="90" customWidth="1"/>
    <col min="8" max="9" width="16.5" style="91" bestFit="1" customWidth="1"/>
    <col min="10" max="10" width="18.125" style="91" bestFit="1" customWidth="1"/>
    <col min="11" max="11" width="14.25" style="90" bestFit="1" customWidth="1"/>
    <col min="12" max="16384" width="9" style="90"/>
  </cols>
  <sheetData>
    <row r="2" spans="2:10" x14ac:dyDescent="0.15">
      <c r="B2" s="354" t="s">
        <v>255</v>
      </c>
      <c r="C2" s="354"/>
      <c r="D2" s="354"/>
      <c r="E2" s="354"/>
      <c r="F2" s="354"/>
      <c r="G2" s="354"/>
      <c r="H2" s="354"/>
      <c r="I2" s="354"/>
      <c r="J2" s="354"/>
    </row>
    <row r="3" spans="2:10" ht="13.35" customHeight="1" x14ac:dyDescent="0.15">
      <c r="B3" s="354" t="s">
        <v>256</v>
      </c>
      <c r="C3" s="354"/>
      <c r="D3" s="354"/>
      <c r="E3" s="354"/>
      <c r="F3" s="354"/>
      <c r="G3" s="354"/>
      <c r="H3" s="354"/>
      <c r="I3" s="354"/>
      <c r="J3" s="354"/>
    </row>
    <row r="4" spans="2:10" ht="13.35" customHeight="1" x14ac:dyDescent="0.15">
      <c r="B4" s="354" t="s">
        <v>257</v>
      </c>
      <c r="C4" s="354"/>
      <c r="D4" s="354"/>
      <c r="E4" s="354"/>
      <c r="F4" s="354"/>
      <c r="G4" s="354"/>
      <c r="H4" s="354"/>
      <c r="I4" s="354"/>
      <c r="J4" s="354"/>
    </row>
    <row r="5" spans="2:10" x14ac:dyDescent="0.15">
      <c r="B5" s="354" t="s">
        <v>534</v>
      </c>
      <c r="C5" s="354"/>
      <c r="D5" s="354"/>
      <c r="E5" s="354"/>
      <c r="F5" s="354"/>
      <c r="G5" s="354"/>
      <c r="H5" s="354"/>
      <c r="I5" s="354"/>
      <c r="J5" s="354"/>
    </row>
    <row r="6" spans="2:10" ht="13.35" customHeight="1" x14ac:dyDescent="0.15">
      <c r="B6" s="355"/>
      <c r="C6" s="355"/>
      <c r="D6" s="355"/>
      <c r="E6" s="355"/>
      <c r="F6" s="355"/>
      <c r="G6" s="355"/>
      <c r="H6" s="355"/>
      <c r="I6" s="355"/>
      <c r="J6" s="355"/>
    </row>
    <row r="7" spans="2:10" s="92" customFormat="1" ht="13.35" customHeight="1" x14ac:dyDescent="0.15">
      <c r="B7" s="93" t="s">
        <v>306</v>
      </c>
      <c r="C7" s="94" t="s">
        <v>261</v>
      </c>
      <c r="D7" s="94" t="s">
        <v>261</v>
      </c>
      <c r="E7" s="94" t="s">
        <v>261</v>
      </c>
      <c r="F7" s="93" t="s">
        <v>259</v>
      </c>
      <c r="G7" s="93" t="s">
        <v>307</v>
      </c>
      <c r="H7" s="94" t="s">
        <v>261</v>
      </c>
      <c r="I7" s="94" t="s">
        <v>261</v>
      </c>
      <c r="J7" s="94" t="s">
        <v>261</v>
      </c>
    </row>
    <row r="8" spans="2:10" ht="17.25" customHeight="1" x14ac:dyDescent="0.15">
      <c r="B8" s="95" t="s">
        <v>308</v>
      </c>
      <c r="C8" s="96" t="s">
        <v>2</v>
      </c>
      <c r="D8" s="96"/>
      <c r="E8" s="96"/>
      <c r="F8" s="97">
        <v>1</v>
      </c>
      <c r="G8" s="95" t="s">
        <v>309</v>
      </c>
      <c r="H8" s="96" t="s">
        <v>2</v>
      </c>
      <c r="I8" s="96"/>
      <c r="J8" s="96"/>
    </row>
    <row r="9" spans="2:10" ht="17.25" customHeight="1" x14ac:dyDescent="0.15">
      <c r="B9" s="98" t="s">
        <v>310</v>
      </c>
      <c r="C9" s="96" t="s">
        <v>2</v>
      </c>
      <c r="D9" s="96"/>
      <c r="E9" s="96"/>
      <c r="F9" s="97"/>
      <c r="G9" s="98" t="s">
        <v>311</v>
      </c>
      <c r="H9" s="99">
        <v>140201372</v>
      </c>
      <c r="I9" s="96"/>
      <c r="J9" s="96"/>
    </row>
    <row r="10" spans="2:10" ht="17.25" customHeight="1" x14ac:dyDescent="0.15">
      <c r="B10" s="98" t="s">
        <v>312</v>
      </c>
      <c r="C10" s="99">
        <v>1500000000</v>
      </c>
      <c r="D10" s="96"/>
      <c r="E10" s="96"/>
      <c r="F10" s="97"/>
      <c r="G10" s="98" t="s">
        <v>107</v>
      </c>
      <c r="H10" s="99">
        <v>14294213231.93</v>
      </c>
      <c r="I10" s="96"/>
      <c r="J10" s="96"/>
    </row>
    <row r="11" spans="2:10" ht="17.25" customHeight="1" x14ac:dyDescent="0.15">
      <c r="B11" s="98" t="s">
        <v>313</v>
      </c>
      <c r="C11" s="96" t="s">
        <v>2</v>
      </c>
      <c r="D11" s="96"/>
      <c r="E11" s="96"/>
      <c r="F11" s="97"/>
      <c r="G11" s="98" t="s">
        <v>108</v>
      </c>
      <c r="H11" s="96">
        <v>1891960.34</v>
      </c>
      <c r="I11" s="96"/>
      <c r="J11" s="96"/>
    </row>
    <row r="12" spans="2:10" ht="17.25" customHeight="1" x14ac:dyDescent="0.15">
      <c r="B12" s="98" t="s">
        <v>314</v>
      </c>
      <c r="C12" s="99"/>
      <c r="D12" s="96"/>
      <c r="E12" s="96"/>
      <c r="F12" s="97"/>
      <c r="G12" s="98" t="s">
        <v>464</v>
      </c>
      <c r="H12" s="99">
        <v>686953.61</v>
      </c>
      <c r="I12" s="96"/>
      <c r="J12" s="96"/>
    </row>
    <row r="13" spans="2:10" ht="17.25" customHeight="1" x14ac:dyDescent="0.15">
      <c r="B13" s="98" t="s">
        <v>315</v>
      </c>
      <c r="C13" s="96" t="s">
        <v>2</v>
      </c>
      <c r="D13" s="96"/>
      <c r="E13" s="96"/>
      <c r="F13" s="97"/>
      <c r="G13" s="98" t="s">
        <v>109</v>
      </c>
      <c r="H13" s="99">
        <v>98446805.579999998</v>
      </c>
      <c r="I13" s="96"/>
      <c r="J13" s="96"/>
    </row>
    <row r="14" spans="2:10" ht="17.25" customHeight="1" x14ac:dyDescent="0.15">
      <c r="B14" s="98" t="s">
        <v>316</v>
      </c>
      <c r="C14" s="99">
        <v>4228791800</v>
      </c>
      <c r="D14" s="96"/>
      <c r="E14" s="96"/>
      <c r="F14" s="97"/>
      <c r="G14" s="98" t="s">
        <v>317</v>
      </c>
      <c r="H14" s="99">
        <v>100000</v>
      </c>
      <c r="I14" s="96"/>
      <c r="J14" s="96"/>
    </row>
    <row r="15" spans="2:10" ht="17.25" customHeight="1" x14ac:dyDescent="0.15">
      <c r="B15" s="98" t="s">
        <v>318</v>
      </c>
      <c r="C15" s="99">
        <v>744250500</v>
      </c>
      <c r="D15" s="96"/>
      <c r="E15" s="96"/>
      <c r="F15" s="97"/>
      <c r="G15" s="98" t="s">
        <v>319</v>
      </c>
      <c r="H15" s="99">
        <v>162953.1</v>
      </c>
      <c r="I15" s="96"/>
      <c r="J15" s="99"/>
    </row>
    <row r="16" spans="2:10" ht="17.25" customHeight="1" x14ac:dyDescent="0.15">
      <c r="B16" s="98"/>
      <c r="C16" s="99"/>
      <c r="D16" s="96"/>
      <c r="E16" s="96"/>
      <c r="F16" s="97"/>
      <c r="G16" s="98" t="s">
        <v>465</v>
      </c>
      <c r="H16" s="99">
        <v>80500000</v>
      </c>
      <c r="I16" s="96"/>
      <c r="J16" s="99">
        <f>SUM(H9:H17)</f>
        <v>14815003276.560001</v>
      </c>
    </row>
    <row r="17" spans="2:10" ht="17.25" customHeight="1" x14ac:dyDescent="0.15">
      <c r="B17" s="98"/>
      <c r="C17" s="99"/>
      <c r="D17" s="96"/>
      <c r="E17" s="96"/>
      <c r="F17" s="97"/>
      <c r="G17" s="98" t="s">
        <v>514</v>
      </c>
      <c r="H17" s="99">
        <v>198800000</v>
      </c>
      <c r="I17" s="96"/>
      <c r="J17" s="99"/>
    </row>
    <row r="18" spans="2:10" ht="15.2" customHeight="1" x14ac:dyDescent="0.15">
      <c r="B18" s="98" t="s">
        <v>320</v>
      </c>
      <c r="C18" s="96" t="s">
        <v>321</v>
      </c>
      <c r="D18" s="96"/>
      <c r="E18" s="99">
        <f>SUM(C14:C18)</f>
        <v>4973042300</v>
      </c>
      <c r="F18" s="97"/>
      <c r="G18" s="98"/>
      <c r="H18" s="96"/>
      <c r="I18" s="96"/>
      <c r="J18" s="96"/>
    </row>
    <row r="19" spans="2:10" ht="15.2" customHeight="1" x14ac:dyDescent="0.15">
      <c r="B19" s="98"/>
      <c r="C19" s="96"/>
      <c r="D19" s="96"/>
      <c r="E19" s="96"/>
      <c r="F19" s="97">
        <v>2</v>
      </c>
      <c r="G19" s="95" t="s">
        <v>21</v>
      </c>
      <c r="H19" s="99">
        <v>7500000000</v>
      </c>
      <c r="I19" s="96"/>
      <c r="J19" s="99">
        <f>+H19</f>
        <v>7500000000</v>
      </c>
    </row>
    <row r="20" spans="2:10" ht="15.2" customHeight="1" x14ac:dyDescent="0.15">
      <c r="B20" s="95" t="s">
        <v>322</v>
      </c>
      <c r="C20" s="96" t="s">
        <v>2</v>
      </c>
      <c r="D20" s="96"/>
      <c r="E20" s="96"/>
      <c r="F20" s="97"/>
      <c r="G20" s="98"/>
      <c r="H20" s="96"/>
      <c r="I20" s="96"/>
      <c r="J20" s="96"/>
    </row>
    <row r="21" spans="2:10" ht="17.25" customHeight="1" x14ac:dyDescent="0.15">
      <c r="B21" s="98" t="s">
        <v>52</v>
      </c>
      <c r="C21" s="99">
        <v>5638600224.6300001</v>
      </c>
      <c r="D21" s="99">
        <f>+C21</f>
        <v>5638600224.6300001</v>
      </c>
      <c r="E21" s="96"/>
      <c r="F21" s="97">
        <v>3</v>
      </c>
      <c r="G21" s="95" t="s">
        <v>22</v>
      </c>
      <c r="H21" s="96" t="s">
        <v>2</v>
      </c>
      <c r="I21" s="96"/>
      <c r="J21" s="96"/>
    </row>
    <row r="22" spans="2:10" ht="17.25" customHeight="1" x14ac:dyDescent="0.15">
      <c r="B22" s="98" t="s">
        <v>323</v>
      </c>
      <c r="C22" s="96" t="s">
        <v>2</v>
      </c>
      <c r="D22" s="96"/>
      <c r="E22" s="96"/>
      <c r="F22" s="97"/>
      <c r="G22" s="98" t="s">
        <v>324</v>
      </c>
      <c r="H22" s="96" t="s">
        <v>2</v>
      </c>
      <c r="I22" s="96"/>
      <c r="J22" s="96"/>
    </row>
    <row r="23" spans="2:10" ht="17.25" customHeight="1" x14ac:dyDescent="0.15">
      <c r="B23" s="98" t="s">
        <v>325</v>
      </c>
      <c r="C23" s="99">
        <v>514345606.39999998</v>
      </c>
      <c r="D23" s="96"/>
      <c r="E23" s="96"/>
      <c r="F23" s="97"/>
      <c r="G23" s="98" t="s">
        <v>114</v>
      </c>
      <c r="H23" s="99">
        <v>4267621153</v>
      </c>
      <c r="I23" s="99">
        <f>+H23</f>
        <v>4267621153</v>
      </c>
      <c r="J23" s="96"/>
    </row>
    <row r="24" spans="2:10" ht="17.25" customHeight="1" x14ac:dyDescent="0.15">
      <c r="B24" s="98" t="s">
        <v>326</v>
      </c>
      <c r="C24" s="99">
        <v>77306000</v>
      </c>
      <c r="D24" s="99">
        <f>SUM(C23:C24)</f>
        <v>591651606.39999998</v>
      </c>
      <c r="E24" s="96"/>
      <c r="F24" s="97"/>
      <c r="G24" s="98" t="s">
        <v>115</v>
      </c>
      <c r="H24" s="99">
        <v>4376090000</v>
      </c>
      <c r="I24" s="96"/>
      <c r="J24" s="96"/>
    </row>
    <row r="25" spans="2:10" ht="17.25" customHeight="1" x14ac:dyDescent="0.15">
      <c r="B25" s="98" t="s">
        <v>327</v>
      </c>
      <c r="C25" s="99">
        <v>79691850.260000005</v>
      </c>
      <c r="D25" s="99">
        <f>+C25</f>
        <v>79691850.260000005</v>
      </c>
      <c r="E25" s="96"/>
      <c r="F25" s="97"/>
      <c r="G25" s="98" t="s">
        <v>328</v>
      </c>
      <c r="H25" s="96" t="s">
        <v>2</v>
      </c>
      <c r="I25" s="96"/>
      <c r="J25" s="96"/>
    </row>
    <row r="26" spans="2:10" ht="17.25" customHeight="1" x14ac:dyDescent="0.15">
      <c r="B26" s="98" t="s">
        <v>329</v>
      </c>
      <c r="C26" s="96" t="s">
        <v>2</v>
      </c>
      <c r="D26" s="96"/>
      <c r="E26" s="96"/>
      <c r="F26" s="97"/>
      <c r="G26" s="98" t="s">
        <v>114</v>
      </c>
      <c r="H26" s="99">
        <v>14258415728.17</v>
      </c>
      <c r="I26" s="99">
        <f>+H26</f>
        <v>14258415728.17</v>
      </c>
      <c r="J26" s="96"/>
    </row>
    <row r="27" spans="2:10" ht="17.25" customHeight="1" x14ac:dyDescent="0.15">
      <c r="B27" s="98" t="s">
        <v>330</v>
      </c>
      <c r="C27" s="99">
        <v>100000000</v>
      </c>
      <c r="D27" s="96"/>
      <c r="E27" s="96"/>
      <c r="F27" s="97"/>
      <c r="G27" s="98" t="s">
        <v>115</v>
      </c>
      <c r="H27" s="99">
        <v>13902050000</v>
      </c>
      <c r="I27" s="96" t="s">
        <v>321</v>
      </c>
      <c r="J27" s="96"/>
    </row>
    <row r="28" spans="2:10" ht="17.25" customHeight="1" x14ac:dyDescent="0.15">
      <c r="B28" s="98" t="s">
        <v>331</v>
      </c>
      <c r="C28" s="99">
        <v>191784150.86000001</v>
      </c>
      <c r="D28" s="96"/>
      <c r="E28" s="96"/>
      <c r="F28" s="97"/>
      <c r="G28" s="98" t="s">
        <v>332</v>
      </c>
      <c r="H28" s="96" t="s">
        <v>2</v>
      </c>
      <c r="I28" s="96"/>
      <c r="J28" s="96"/>
    </row>
    <row r="29" spans="2:10" ht="17.25" customHeight="1" x14ac:dyDescent="0.15">
      <c r="B29" s="98" t="s">
        <v>333</v>
      </c>
      <c r="C29" s="99">
        <v>20726597.969999999</v>
      </c>
      <c r="D29" s="96"/>
      <c r="E29" s="96"/>
      <c r="F29" s="97"/>
      <c r="G29" s="98" t="s">
        <v>114</v>
      </c>
      <c r="H29" s="99">
        <v>151560000</v>
      </c>
      <c r="I29" s="99">
        <f>+H29</f>
        <v>151560000</v>
      </c>
      <c r="J29" s="96"/>
    </row>
    <row r="30" spans="2:10" ht="17.25" customHeight="1" x14ac:dyDescent="0.15">
      <c r="B30" s="98" t="s">
        <v>334</v>
      </c>
      <c r="C30" s="99">
        <v>735482848.92999995</v>
      </c>
      <c r="D30" s="96"/>
      <c r="E30" s="96"/>
      <c r="F30" s="97"/>
      <c r="G30" s="98" t="s">
        <v>115</v>
      </c>
      <c r="H30" s="99">
        <v>151560000</v>
      </c>
      <c r="I30" s="96"/>
      <c r="J30" s="96"/>
    </row>
    <row r="31" spans="2:10" ht="17.25" customHeight="1" x14ac:dyDescent="0.15">
      <c r="B31" s="98" t="s">
        <v>335</v>
      </c>
      <c r="C31" s="99">
        <v>112333726.55</v>
      </c>
      <c r="D31" s="96"/>
      <c r="E31" s="96"/>
      <c r="F31" s="97"/>
      <c r="G31" s="98" t="s">
        <v>336</v>
      </c>
      <c r="H31" s="96" t="s">
        <v>2</v>
      </c>
      <c r="I31" s="96"/>
      <c r="J31" s="96"/>
    </row>
    <row r="32" spans="2:10" ht="17.25" customHeight="1" x14ac:dyDescent="0.15">
      <c r="B32" s="98" t="s">
        <v>337</v>
      </c>
      <c r="C32" s="99">
        <v>111325521.66</v>
      </c>
      <c r="D32" s="96"/>
      <c r="E32" s="96"/>
      <c r="F32" s="97"/>
      <c r="G32" s="98" t="s">
        <v>114</v>
      </c>
      <c r="H32" s="99">
        <v>7953425000</v>
      </c>
      <c r="I32" s="99">
        <f>+H32</f>
        <v>7953425000</v>
      </c>
      <c r="J32" s="96"/>
    </row>
    <row r="33" spans="2:10" ht="17.25" customHeight="1" x14ac:dyDescent="0.15">
      <c r="B33" s="98" t="s">
        <v>338</v>
      </c>
      <c r="C33" s="99">
        <v>2955148.37</v>
      </c>
      <c r="D33" s="96"/>
      <c r="E33" s="96"/>
      <c r="F33" s="97"/>
      <c r="G33" s="98" t="s">
        <v>115</v>
      </c>
      <c r="H33" s="99">
        <v>7880000000</v>
      </c>
      <c r="I33" s="96"/>
      <c r="J33" s="99">
        <f>+I32+I29+I26+I23</f>
        <v>26631021881.169998</v>
      </c>
    </row>
    <row r="34" spans="2:10" ht="15.2" customHeight="1" x14ac:dyDescent="0.15">
      <c r="B34" s="98" t="s">
        <v>339</v>
      </c>
      <c r="C34" s="99">
        <v>17393926.960000001</v>
      </c>
      <c r="D34" s="96"/>
      <c r="E34" s="96"/>
      <c r="F34" s="97"/>
      <c r="G34" s="98"/>
      <c r="H34" s="96"/>
      <c r="I34" s="96"/>
      <c r="J34" s="96"/>
    </row>
    <row r="35" spans="2:10" ht="17.25" customHeight="1" x14ac:dyDescent="0.15">
      <c r="B35" s="98" t="s">
        <v>340</v>
      </c>
      <c r="C35" s="99">
        <v>6950222.8099999996</v>
      </c>
      <c r="D35" s="96"/>
      <c r="E35" s="96"/>
      <c r="F35" s="97">
        <v>4</v>
      </c>
      <c r="G35" s="95" t="s">
        <v>23</v>
      </c>
      <c r="H35" s="96" t="s">
        <v>2</v>
      </c>
      <c r="I35" s="96"/>
      <c r="J35" s="96"/>
    </row>
    <row r="36" spans="2:10" ht="17.25" customHeight="1" x14ac:dyDescent="0.15">
      <c r="B36" s="98" t="s">
        <v>341</v>
      </c>
      <c r="C36" s="99">
        <v>2668603.73</v>
      </c>
      <c r="D36" s="96"/>
      <c r="E36" s="96"/>
      <c r="F36" s="97"/>
      <c r="G36" s="98" t="s">
        <v>342</v>
      </c>
      <c r="H36" s="96" t="s">
        <v>2</v>
      </c>
      <c r="I36" s="96"/>
      <c r="J36" s="96"/>
    </row>
    <row r="37" spans="2:10" ht="17.25" customHeight="1" x14ac:dyDescent="0.15">
      <c r="B37" s="98" t="s">
        <v>343</v>
      </c>
      <c r="C37" s="99">
        <v>1116437</v>
      </c>
      <c r="D37" s="96"/>
      <c r="E37" s="96"/>
      <c r="F37" s="97"/>
      <c r="G37" s="98" t="s">
        <v>344</v>
      </c>
      <c r="H37" s="99">
        <v>48498714000</v>
      </c>
      <c r="I37" s="96"/>
      <c r="J37" s="96"/>
    </row>
    <row r="38" spans="2:10" ht="17.25" customHeight="1" x14ac:dyDescent="0.15">
      <c r="B38" s="98" t="s">
        <v>345</v>
      </c>
      <c r="C38" s="99">
        <v>20704054.280000001</v>
      </c>
      <c r="D38" s="96"/>
      <c r="E38" s="96"/>
      <c r="F38" s="97"/>
      <c r="G38" s="98" t="s">
        <v>346</v>
      </c>
      <c r="H38" s="99">
        <v>1992797000</v>
      </c>
      <c r="I38" s="96"/>
      <c r="J38" s="96"/>
    </row>
    <row r="39" spans="2:10" ht="17.25" customHeight="1" x14ac:dyDescent="0.15">
      <c r="B39" s="98" t="s">
        <v>347</v>
      </c>
      <c r="C39" s="99">
        <v>5786000</v>
      </c>
      <c r="D39" s="96"/>
      <c r="E39" s="96"/>
      <c r="F39" s="97"/>
      <c r="G39" s="98" t="s">
        <v>348</v>
      </c>
      <c r="H39" s="99">
        <v>3012166000</v>
      </c>
      <c r="I39" s="96"/>
      <c r="J39" s="96"/>
    </row>
    <row r="40" spans="2:10" ht="17.25" customHeight="1" x14ac:dyDescent="0.15">
      <c r="B40" s="98" t="s">
        <v>349</v>
      </c>
      <c r="C40" s="99">
        <v>2830000</v>
      </c>
      <c r="D40" s="96"/>
      <c r="E40" s="96"/>
      <c r="F40" s="97"/>
      <c r="G40" s="98" t="s">
        <v>350</v>
      </c>
      <c r="H40" s="99">
        <v>1069809538.25</v>
      </c>
      <c r="I40" s="96"/>
      <c r="J40" s="96"/>
    </row>
    <row r="41" spans="2:10" ht="17.25" customHeight="1" x14ac:dyDescent="0.15">
      <c r="B41" s="98" t="s">
        <v>470</v>
      </c>
      <c r="C41" s="99">
        <v>10000000</v>
      </c>
      <c r="D41" s="96"/>
      <c r="E41" s="96"/>
      <c r="F41" s="97"/>
      <c r="G41" s="98" t="s">
        <v>351</v>
      </c>
      <c r="H41" s="99">
        <v>187747917.80000001</v>
      </c>
      <c r="I41" s="96"/>
      <c r="J41" s="96"/>
    </row>
    <row r="42" spans="2:10" ht="17.25" customHeight="1" x14ac:dyDescent="0.15">
      <c r="B42" s="98" t="s">
        <v>352</v>
      </c>
      <c r="C42" s="96"/>
      <c r="D42" s="96"/>
      <c r="E42" s="96"/>
      <c r="F42" s="97"/>
      <c r="G42" s="98" t="s">
        <v>353</v>
      </c>
      <c r="H42" s="99">
        <v>3293209517.5700002</v>
      </c>
      <c r="I42" s="96"/>
      <c r="J42" s="96"/>
    </row>
    <row r="43" spans="2:10" ht="17.25" customHeight="1" x14ac:dyDescent="0.15">
      <c r="B43" s="98" t="s">
        <v>354</v>
      </c>
      <c r="C43" s="99">
        <v>19636868.02</v>
      </c>
      <c r="D43" s="96"/>
      <c r="E43" s="96"/>
      <c r="F43" s="97"/>
      <c r="G43" s="98" t="s">
        <v>355</v>
      </c>
      <c r="H43" s="99">
        <v>30860000</v>
      </c>
      <c r="I43" s="96"/>
      <c r="J43" s="96"/>
    </row>
    <row r="44" spans="2:10" ht="17.25" customHeight="1" x14ac:dyDescent="0.15">
      <c r="B44" s="98" t="s">
        <v>356</v>
      </c>
      <c r="C44" s="99">
        <v>518710313.25999999</v>
      </c>
      <c r="D44" s="96"/>
      <c r="E44" s="96"/>
      <c r="F44" s="97"/>
      <c r="G44" s="98" t="s">
        <v>357</v>
      </c>
      <c r="H44" s="96">
        <v>0</v>
      </c>
      <c r="I44" s="96"/>
      <c r="J44" s="96"/>
    </row>
    <row r="45" spans="2:10" ht="17.25" customHeight="1" x14ac:dyDescent="0.15">
      <c r="B45" s="98" t="s">
        <v>358</v>
      </c>
      <c r="C45" s="99">
        <v>87214766</v>
      </c>
      <c r="D45" s="99">
        <f>SUM(C27:C45)</f>
        <v>1967619186.3999999</v>
      </c>
      <c r="E45" s="99">
        <f>+D45+D25+D24+D21</f>
        <v>8277562867.6900005</v>
      </c>
      <c r="F45" s="97"/>
      <c r="G45" s="98" t="s">
        <v>359</v>
      </c>
      <c r="H45" s="99">
        <v>7208177</v>
      </c>
      <c r="I45" s="96"/>
      <c r="J45" s="96"/>
    </row>
    <row r="46" spans="2:10" ht="15.2" customHeight="1" x14ac:dyDescent="0.15">
      <c r="B46" s="98"/>
      <c r="C46" s="96"/>
      <c r="D46" s="96"/>
      <c r="E46" s="96"/>
      <c r="F46" s="97"/>
      <c r="G46" s="98" t="s">
        <v>360</v>
      </c>
      <c r="H46" s="96">
        <v>0</v>
      </c>
      <c r="I46" s="96"/>
      <c r="J46" s="96"/>
    </row>
    <row r="47" spans="2:10" ht="17.25" customHeight="1" x14ac:dyDescent="0.15">
      <c r="B47" s="95" t="s">
        <v>16</v>
      </c>
      <c r="C47" s="96" t="s">
        <v>2</v>
      </c>
      <c r="D47" s="96"/>
      <c r="E47" s="96"/>
      <c r="F47" s="97"/>
      <c r="G47" s="98" t="s">
        <v>361</v>
      </c>
      <c r="H47" s="96">
        <v>0</v>
      </c>
      <c r="I47" s="99">
        <f>SUM(H37:H47)</f>
        <v>58092512150.620003</v>
      </c>
      <c r="J47" s="96"/>
    </row>
    <row r="48" spans="2:10" ht="17.25" customHeight="1" x14ac:dyDescent="0.15">
      <c r="B48" s="98" t="s">
        <v>362</v>
      </c>
      <c r="C48" s="96" t="s">
        <v>2</v>
      </c>
      <c r="D48" s="96"/>
      <c r="E48" s="96"/>
      <c r="F48" s="97"/>
      <c r="G48" s="98" t="s">
        <v>363</v>
      </c>
      <c r="H48" s="96" t="s">
        <v>2</v>
      </c>
      <c r="I48" s="96"/>
      <c r="J48" s="96"/>
    </row>
    <row r="49" spans="2:10" ht="17.25" customHeight="1" x14ac:dyDescent="0.15">
      <c r="B49" s="98" t="s">
        <v>364</v>
      </c>
      <c r="C49" s="99">
        <v>21703005815.48</v>
      </c>
      <c r="D49" s="96"/>
      <c r="E49" s="96"/>
      <c r="F49" s="97"/>
      <c r="G49" s="98" t="s">
        <v>365</v>
      </c>
      <c r="H49" s="99">
        <v>0</v>
      </c>
      <c r="I49" s="96"/>
      <c r="J49" s="96"/>
    </row>
    <row r="50" spans="2:10" ht="17.25" customHeight="1" x14ac:dyDescent="0.15">
      <c r="B50" s="98" t="s">
        <v>366</v>
      </c>
      <c r="C50" s="99">
        <v>11534201841.4</v>
      </c>
      <c r="D50" s="96"/>
      <c r="E50" s="96"/>
      <c r="F50" s="97"/>
      <c r="G50" s="98" t="s">
        <v>367</v>
      </c>
      <c r="H50" s="99">
        <v>18493303.579999998</v>
      </c>
      <c r="I50" s="96"/>
      <c r="J50" s="96"/>
    </row>
    <row r="51" spans="2:10" ht="17.25" customHeight="1" x14ac:dyDescent="0.15">
      <c r="B51" s="98" t="s">
        <v>368</v>
      </c>
      <c r="C51" s="99">
        <v>9142014912.1599998</v>
      </c>
      <c r="D51" s="96"/>
      <c r="E51" s="96"/>
      <c r="F51" s="97"/>
      <c r="G51" s="98" t="s">
        <v>369</v>
      </c>
      <c r="H51" s="99">
        <v>19342856.039999999</v>
      </c>
      <c r="I51" s="96"/>
      <c r="J51" s="96"/>
    </row>
    <row r="52" spans="2:10" ht="17.25" customHeight="1" x14ac:dyDescent="0.15">
      <c r="B52" s="98" t="s">
        <v>370</v>
      </c>
      <c r="C52" s="99">
        <v>15887759775.790001</v>
      </c>
      <c r="D52" s="99">
        <f>SUM(C49:C52)</f>
        <v>58266982344.829994</v>
      </c>
      <c r="E52" s="96"/>
      <c r="F52" s="97"/>
      <c r="G52" s="98" t="s">
        <v>466</v>
      </c>
      <c r="H52" s="99">
        <v>0</v>
      </c>
      <c r="I52" s="96"/>
      <c r="J52" s="96"/>
    </row>
    <row r="53" spans="2:10" ht="17.25" customHeight="1" x14ac:dyDescent="0.15">
      <c r="B53" s="98" t="s">
        <v>371</v>
      </c>
      <c r="C53" s="96" t="s">
        <v>2</v>
      </c>
      <c r="D53" s="96"/>
      <c r="E53" s="96"/>
      <c r="F53" s="97"/>
      <c r="G53" s="98" t="s">
        <v>467</v>
      </c>
      <c r="H53" s="99">
        <v>0</v>
      </c>
      <c r="I53" s="96"/>
      <c r="J53" s="96"/>
    </row>
    <row r="54" spans="2:10" ht="17.25" customHeight="1" x14ac:dyDescent="0.15">
      <c r="B54" s="98" t="s">
        <v>364</v>
      </c>
      <c r="C54" s="99">
        <v>5802837823.2299995</v>
      </c>
      <c r="D54" s="96"/>
      <c r="E54" s="96"/>
      <c r="F54" s="97"/>
      <c r="G54" s="98" t="s">
        <v>372</v>
      </c>
      <c r="H54" s="99">
        <v>11761225118</v>
      </c>
      <c r="I54" s="96"/>
      <c r="J54" s="96"/>
    </row>
    <row r="55" spans="2:10" ht="17.25" customHeight="1" x14ac:dyDescent="0.15">
      <c r="B55" s="98" t="s">
        <v>366</v>
      </c>
      <c r="C55" s="99">
        <v>545470459.77999997</v>
      </c>
      <c r="D55" s="96"/>
      <c r="E55" s="96"/>
      <c r="F55" s="97"/>
      <c r="G55" s="98" t="s">
        <v>373</v>
      </c>
      <c r="H55" s="99">
        <v>8000000000</v>
      </c>
      <c r="I55" s="99">
        <f>SUM(H49:H55)</f>
        <v>19799061277.620003</v>
      </c>
      <c r="J55" s="96"/>
    </row>
    <row r="56" spans="2:10" ht="17.25" customHeight="1" x14ac:dyDescent="0.15">
      <c r="B56" s="98" t="s">
        <v>368</v>
      </c>
      <c r="C56" s="99">
        <v>955804.15</v>
      </c>
      <c r="D56" s="99">
        <f>SUM(C54:C56)</f>
        <v>6349264087.1599989</v>
      </c>
      <c r="E56" s="96"/>
      <c r="F56" s="97"/>
      <c r="G56" s="98" t="s">
        <v>374</v>
      </c>
      <c r="H56" s="96" t="s">
        <v>2</v>
      </c>
      <c r="I56" s="96"/>
      <c r="J56" s="96"/>
    </row>
    <row r="57" spans="2:10" ht="17.25" customHeight="1" x14ac:dyDescent="0.15">
      <c r="B57" s="98" t="s">
        <v>375</v>
      </c>
      <c r="C57" s="96" t="s">
        <v>2</v>
      </c>
      <c r="D57" s="96"/>
      <c r="E57" s="96"/>
      <c r="F57" s="97"/>
      <c r="G57" s="98" t="s">
        <v>364</v>
      </c>
      <c r="H57" s="99">
        <v>209579.61</v>
      </c>
      <c r="I57" s="96"/>
      <c r="J57" s="96"/>
    </row>
    <row r="58" spans="2:10" ht="17.25" customHeight="1" x14ac:dyDescent="0.15">
      <c r="B58" s="98" t="s">
        <v>364</v>
      </c>
      <c r="C58" s="99">
        <v>670139414.63</v>
      </c>
      <c r="D58" s="96"/>
      <c r="E58" s="96"/>
      <c r="F58" s="97"/>
      <c r="G58" s="98" t="s">
        <v>366</v>
      </c>
      <c r="H58" s="99">
        <v>10776296.09</v>
      </c>
      <c r="I58" s="96"/>
      <c r="J58" s="96"/>
    </row>
    <row r="59" spans="2:10" ht="17.25" customHeight="1" x14ac:dyDescent="0.15">
      <c r="B59" s="98" t="s">
        <v>366</v>
      </c>
      <c r="C59" s="99">
        <v>241432587.30000001</v>
      </c>
      <c r="D59" s="96"/>
      <c r="E59" s="96"/>
      <c r="F59" s="97"/>
      <c r="G59" s="98" t="s">
        <v>368</v>
      </c>
      <c r="H59" s="96">
        <v>2605226.36</v>
      </c>
      <c r="I59" s="96"/>
      <c r="J59" s="96"/>
    </row>
    <row r="60" spans="2:10" ht="17.25" customHeight="1" x14ac:dyDescent="0.15">
      <c r="B60" s="98" t="s">
        <v>368</v>
      </c>
      <c r="C60" s="99">
        <v>1322661936.1900001</v>
      </c>
      <c r="D60" s="96"/>
      <c r="E60" s="96"/>
      <c r="F60" s="97"/>
      <c r="G60" s="98" t="s">
        <v>376</v>
      </c>
      <c r="H60" s="99">
        <v>184441961.31999999</v>
      </c>
      <c r="I60" s="99">
        <f>SUM(H57:H60)</f>
        <v>198033063.38</v>
      </c>
      <c r="J60" s="96"/>
    </row>
    <row r="61" spans="2:10" ht="17.25" customHeight="1" x14ac:dyDescent="0.15">
      <c r="B61" s="98" t="s">
        <v>370</v>
      </c>
      <c r="C61" s="99">
        <v>3302257355.2800002</v>
      </c>
      <c r="D61" s="96"/>
      <c r="E61" s="96"/>
      <c r="F61" s="97"/>
      <c r="G61" s="98" t="s">
        <v>377</v>
      </c>
      <c r="H61" s="96" t="s">
        <v>2</v>
      </c>
      <c r="I61" s="96"/>
      <c r="J61" s="96"/>
    </row>
    <row r="62" spans="2:10" ht="17.25" customHeight="1" x14ac:dyDescent="0.15">
      <c r="B62" s="98" t="s">
        <v>378</v>
      </c>
      <c r="C62" s="99">
        <v>1630875.94</v>
      </c>
      <c r="D62" s="99">
        <f>SUM(C58:C62)</f>
        <v>5538122169.3399992</v>
      </c>
      <c r="E62" s="96"/>
      <c r="F62" s="97"/>
      <c r="G62" s="98" t="s">
        <v>379</v>
      </c>
      <c r="H62" s="99">
        <v>6312967954</v>
      </c>
      <c r="I62" s="96"/>
      <c r="J62" s="96"/>
    </row>
    <row r="63" spans="2:10" ht="17.25" customHeight="1" x14ac:dyDescent="0.15">
      <c r="B63" s="98" t="s">
        <v>380</v>
      </c>
      <c r="C63" s="96" t="s">
        <v>2</v>
      </c>
      <c r="D63" s="96"/>
      <c r="E63" s="96"/>
      <c r="F63" s="97"/>
      <c r="G63" s="98" t="s">
        <v>381</v>
      </c>
      <c r="H63" s="99">
        <v>4281227437</v>
      </c>
      <c r="I63" s="96"/>
      <c r="J63" s="96"/>
    </row>
    <row r="64" spans="2:10" ht="17.25" customHeight="1" x14ac:dyDescent="0.15">
      <c r="B64" s="98" t="s">
        <v>366</v>
      </c>
      <c r="C64" s="99">
        <v>2228728537.8000002</v>
      </c>
      <c r="D64" s="96"/>
      <c r="E64" s="96"/>
      <c r="F64" s="97"/>
      <c r="G64" s="98" t="s">
        <v>382</v>
      </c>
      <c r="H64" s="99">
        <v>3569671070</v>
      </c>
      <c r="I64" s="96"/>
      <c r="J64" s="96"/>
    </row>
    <row r="65" spans="2:11" ht="17.25" customHeight="1" x14ac:dyDescent="0.15">
      <c r="B65" s="98" t="s">
        <v>368</v>
      </c>
      <c r="C65" s="99">
        <v>1856519474.8699999</v>
      </c>
      <c r="D65" s="96"/>
      <c r="E65" s="96"/>
      <c r="F65" s="97"/>
      <c r="G65" s="98" t="s">
        <v>383</v>
      </c>
      <c r="H65" s="99">
        <v>258571171</v>
      </c>
      <c r="I65" s="96"/>
      <c r="J65" s="96"/>
    </row>
    <row r="66" spans="2:11" ht="17.25" customHeight="1" x14ac:dyDescent="0.15">
      <c r="B66" s="98" t="s">
        <v>370</v>
      </c>
      <c r="C66" s="99">
        <v>3837955908.5700002</v>
      </c>
      <c r="D66" s="99">
        <f>SUM(C64:C66)</f>
        <v>7923203921.2399998</v>
      </c>
      <c r="E66" s="96"/>
      <c r="F66" s="97"/>
      <c r="G66" s="98" t="s">
        <v>384</v>
      </c>
      <c r="H66" s="99">
        <v>269340969</v>
      </c>
      <c r="I66" s="96"/>
      <c r="J66" s="96"/>
    </row>
    <row r="67" spans="2:11" ht="17.25" customHeight="1" x14ac:dyDescent="0.15">
      <c r="B67" s="98" t="s">
        <v>385</v>
      </c>
      <c r="C67" s="96" t="s">
        <v>2</v>
      </c>
      <c r="D67" s="96"/>
      <c r="E67" s="96"/>
      <c r="F67" s="97"/>
      <c r="G67" s="98" t="s">
        <v>386</v>
      </c>
      <c r="H67" s="99">
        <v>191920</v>
      </c>
      <c r="I67" s="96"/>
      <c r="J67" s="96"/>
    </row>
    <row r="68" spans="2:11" ht="17.25" customHeight="1" x14ac:dyDescent="0.15">
      <c r="B68" s="98" t="s">
        <v>364</v>
      </c>
      <c r="C68" s="99">
        <v>12637887320.52</v>
      </c>
      <c r="D68" s="96"/>
      <c r="E68" s="96"/>
      <c r="F68" s="97"/>
      <c r="G68" s="98" t="s">
        <v>387</v>
      </c>
      <c r="H68" s="96">
        <v>291672</v>
      </c>
      <c r="I68" s="96"/>
      <c r="J68" s="96"/>
    </row>
    <row r="69" spans="2:11" ht="17.25" customHeight="1" x14ac:dyDescent="0.15">
      <c r="B69" s="98" t="s">
        <v>366</v>
      </c>
      <c r="C69" s="99">
        <v>3983912401.4699998</v>
      </c>
      <c r="D69" s="96"/>
      <c r="E69" s="96"/>
      <c r="F69" s="97"/>
      <c r="G69" s="98" t="s">
        <v>388</v>
      </c>
      <c r="H69" s="96">
        <v>206504</v>
      </c>
      <c r="I69" s="96"/>
      <c r="J69" s="96"/>
    </row>
    <row r="70" spans="2:11" ht="17.25" customHeight="1" x14ac:dyDescent="0.15">
      <c r="B70" s="98" t="s">
        <v>368</v>
      </c>
      <c r="C70" s="99">
        <v>248258866</v>
      </c>
      <c r="D70" s="96"/>
      <c r="E70" s="96"/>
      <c r="F70" s="97"/>
      <c r="G70" s="98" t="s">
        <v>389</v>
      </c>
      <c r="H70" s="99">
        <v>572204523.80999994</v>
      </c>
      <c r="I70" s="96"/>
      <c r="J70" s="96"/>
    </row>
    <row r="71" spans="2:11" ht="17.25" customHeight="1" x14ac:dyDescent="0.15">
      <c r="B71" s="98" t="s">
        <v>370</v>
      </c>
      <c r="C71" s="99">
        <v>0</v>
      </c>
      <c r="D71" s="99">
        <f>SUM(C68:C71)</f>
        <v>16870058587.99</v>
      </c>
      <c r="E71" s="96"/>
      <c r="F71" s="97"/>
      <c r="G71" s="98" t="s">
        <v>390</v>
      </c>
      <c r="H71" s="99">
        <v>659471</v>
      </c>
      <c r="I71" s="99">
        <f>SUM(H62:H71)</f>
        <v>15265332691.809999</v>
      </c>
      <c r="J71" s="96"/>
      <c r="K71" s="167"/>
    </row>
    <row r="72" spans="2:11" ht="17.25" customHeight="1" x14ac:dyDescent="0.15">
      <c r="B72" s="98" t="s">
        <v>391</v>
      </c>
      <c r="C72" s="96" t="s">
        <v>2</v>
      </c>
      <c r="D72" s="96"/>
      <c r="E72" s="96"/>
      <c r="F72" s="97"/>
      <c r="G72" s="98" t="s">
        <v>392</v>
      </c>
      <c r="H72" s="96" t="s">
        <v>2</v>
      </c>
      <c r="I72" s="96"/>
      <c r="J72" s="96"/>
    </row>
    <row r="73" spans="2:11" ht="17.25" customHeight="1" x14ac:dyDescent="0.15">
      <c r="B73" s="98" t="s">
        <v>393</v>
      </c>
      <c r="C73" s="99">
        <v>146461592.91</v>
      </c>
      <c r="D73" s="96"/>
      <c r="E73" s="96"/>
      <c r="F73" s="97"/>
      <c r="G73" s="98" t="s">
        <v>394</v>
      </c>
      <c r="H73" s="99">
        <v>343419995.94999999</v>
      </c>
      <c r="I73" s="96"/>
      <c r="J73" s="96"/>
    </row>
    <row r="74" spans="2:11" ht="17.25" customHeight="1" x14ac:dyDescent="0.15">
      <c r="B74" s="98" t="s">
        <v>395</v>
      </c>
      <c r="C74" s="99">
        <v>2420000</v>
      </c>
      <c r="D74" s="96"/>
      <c r="E74" s="96"/>
      <c r="F74" s="97"/>
      <c r="G74" s="98" t="s">
        <v>396</v>
      </c>
      <c r="H74" s="99">
        <v>2224300347.4899998</v>
      </c>
      <c r="I74" s="96"/>
      <c r="J74" s="96"/>
    </row>
    <row r="75" spans="2:11" ht="17.25" customHeight="1" x14ac:dyDescent="0.15">
      <c r="B75" s="98" t="s">
        <v>397</v>
      </c>
      <c r="C75" s="96">
        <v>0</v>
      </c>
      <c r="D75" s="96"/>
      <c r="E75" s="96"/>
      <c r="F75" s="97"/>
      <c r="G75" s="98" t="s">
        <v>398</v>
      </c>
      <c r="H75" s="99">
        <v>2925442020.8000002</v>
      </c>
      <c r="I75" s="96"/>
      <c r="J75" s="96"/>
    </row>
    <row r="76" spans="2:11" ht="17.25" customHeight="1" x14ac:dyDescent="0.15">
      <c r="B76" s="98" t="s">
        <v>399</v>
      </c>
      <c r="C76" s="96">
        <v>0</v>
      </c>
      <c r="D76" s="96"/>
      <c r="E76" s="96"/>
      <c r="F76" s="97"/>
      <c r="G76" s="98" t="s">
        <v>400</v>
      </c>
      <c r="H76" s="99">
        <v>3209624682.5900002</v>
      </c>
      <c r="I76" s="96"/>
      <c r="J76" s="96"/>
    </row>
    <row r="77" spans="2:11" ht="17.25" customHeight="1" x14ac:dyDescent="0.15">
      <c r="B77" s="98" t="s">
        <v>401</v>
      </c>
      <c r="C77" s="99">
        <v>15116371.25</v>
      </c>
      <c r="D77" s="96"/>
      <c r="E77" s="96"/>
      <c r="F77" s="97"/>
      <c r="G77" s="98" t="s">
        <v>402</v>
      </c>
      <c r="H77" s="99">
        <v>41546959</v>
      </c>
      <c r="I77" s="96"/>
      <c r="J77" s="96"/>
    </row>
    <row r="78" spans="2:11" ht="17.25" customHeight="1" x14ac:dyDescent="0.15">
      <c r="B78" s="98" t="s">
        <v>403</v>
      </c>
      <c r="C78" s="96"/>
      <c r="D78" s="99">
        <f>SUM(C73:C78)</f>
        <v>163997964.16</v>
      </c>
      <c r="E78" s="99">
        <f>+D78+D71+D66+D62+D56+D52</f>
        <v>95111629074.720001</v>
      </c>
      <c r="F78" s="97"/>
      <c r="G78" s="98" t="s">
        <v>404</v>
      </c>
      <c r="H78" s="99">
        <v>11522753</v>
      </c>
      <c r="I78" s="96"/>
      <c r="J78" s="96"/>
    </row>
    <row r="79" spans="2:11" ht="15.2" customHeight="1" x14ac:dyDescent="0.15">
      <c r="B79" s="98"/>
      <c r="C79" s="96"/>
      <c r="D79" s="96"/>
      <c r="E79" s="96"/>
      <c r="F79" s="97"/>
      <c r="G79" s="98" t="s">
        <v>405</v>
      </c>
      <c r="H79" s="99">
        <v>18299304931</v>
      </c>
      <c r="I79" s="99">
        <f>SUM(H73:H79)</f>
        <v>27055161689.830002</v>
      </c>
      <c r="J79" s="96"/>
    </row>
    <row r="80" spans="2:11" ht="17.25" customHeight="1" x14ac:dyDescent="0.15">
      <c r="B80" s="95" t="s">
        <v>15</v>
      </c>
      <c r="C80" s="96" t="s">
        <v>2</v>
      </c>
      <c r="D80" s="96"/>
      <c r="E80" s="96"/>
      <c r="F80" s="97"/>
      <c r="G80" s="98" t="s">
        <v>406</v>
      </c>
      <c r="H80" s="96" t="s">
        <v>2</v>
      </c>
      <c r="I80" s="96"/>
      <c r="J80" s="96"/>
    </row>
    <row r="81" spans="2:12" ht="17.25" customHeight="1" x14ac:dyDescent="0.15">
      <c r="B81" s="98" t="s">
        <v>407</v>
      </c>
      <c r="C81" s="96" t="s">
        <v>2</v>
      </c>
      <c r="D81" s="96"/>
      <c r="E81" s="96"/>
      <c r="F81" s="97"/>
      <c r="G81" s="98" t="s">
        <v>408</v>
      </c>
      <c r="H81" s="99">
        <v>0</v>
      </c>
      <c r="I81" s="96"/>
      <c r="J81" s="96"/>
    </row>
    <row r="82" spans="2:12" ht="17.25" customHeight="1" x14ac:dyDescent="0.15">
      <c r="B82" s="98" t="s">
        <v>409</v>
      </c>
      <c r="C82" s="99">
        <v>21373945045</v>
      </c>
      <c r="D82" s="96"/>
      <c r="E82" s="96"/>
      <c r="F82" s="97"/>
      <c r="G82" s="98" t="s">
        <v>410</v>
      </c>
      <c r="H82" s="99">
        <v>8879036</v>
      </c>
      <c r="I82" s="96"/>
      <c r="J82" s="96"/>
    </row>
    <row r="83" spans="2:12" ht="17.25" customHeight="1" x14ac:dyDescent="0.15">
      <c r="B83" s="98" t="s">
        <v>411</v>
      </c>
      <c r="C83" s="99">
        <v>33120000000</v>
      </c>
      <c r="D83" s="96"/>
      <c r="E83" s="96"/>
      <c r="F83" s="97"/>
      <c r="G83" s="98" t="s">
        <v>412</v>
      </c>
      <c r="H83" s="99">
        <v>0</v>
      </c>
      <c r="I83" s="96"/>
      <c r="J83" s="96"/>
    </row>
    <row r="84" spans="2:12" ht="17.25" customHeight="1" x14ac:dyDescent="0.15">
      <c r="B84" s="98" t="s">
        <v>413</v>
      </c>
      <c r="C84" s="99">
        <v>1120000000</v>
      </c>
      <c r="D84" s="96"/>
      <c r="E84" s="96"/>
      <c r="F84" s="97"/>
      <c r="G84" s="98" t="s">
        <v>414</v>
      </c>
      <c r="H84" s="99">
        <v>0</v>
      </c>
      <c r="I84" s="99">
        <f>SUM(H81:H84)</f>
        <v>8879036</v>
      </c>
      <c r="J84" s="99">
        <f>+I84+I79+I71+I60+I55+I47</f>
        <v>120418979909.26001</v>
      </c>
    </row>
    <row r="85" spans="2:12" ht="15.2" customHeight="1" x14ac:dyDescent="0.15">
      <c r="B85" s="98" t="s">
        <v>415</v>
      </c>
      <c r="C85" s="99">
        <v>760000000</v>
      </c>
      <c r="D85" s="96"/>
      <c r="E85" s="96"/>
      <c r="F85" s="97"/>
      <c r="G85" s="98"/>
      <c r="H85" s="96"/>
      <c r="I85" s="96"/>
      <c r="J85" s="96"/>
    </row>
    <row r="86" spans="2:12" ht="17.25" customHeight="1" x14ac:dyDescent="0.15">
      <c r="B86" s="98" t="s">
        <v>416</v>
      </c>
      <c r="C86" s="99">
        <v>6313585243</v>
      </c>
      <c r="D86" s="96"/>
      <c r="E86" s="96"/>
      <c r="F86" s="97">
        <v>5</v>
      </c>
      <c r="G86" s="95" t="s">
        <v>417</v>
      </c>
      <c r="H86" s="96" t="s">
        <v>2</v>
      </c>
      <c r="I86" s="96"/>
      <c r="J86" s="96"/>
    </row>
    <row r="87" spans="2:12" ht="17.25" customHeight="1" x14ac:dyDescent="0.15">
      <c r="B87" s="98" t="s">
        <v>418</v>
      </c>
      <c r="C87" s="99">
        <v>3569671070</v>
      </c>
      <c r="D87" s="96"/>
      <c r="E87" s="96"/>
      <c r="F87" s="97"/>
      <c r="G87" s="98" t="s">
        <v>419</v>
      </c>
      <c r="H87" s="99">
        <v>18576</v>
      </c>
      <c r="I87" s="96"/>
      <c r="J87" s="99">
        <f>+H87</f>
        <v>18576</v>
      </c>
    </row>
    <row r="88" spans="2:12" ht="15.2" customHeight="1" x14ac:dyDescent="0.15">
      <c r="B88" s="98" t="s">
        <v>420</v>
      </c>
      <c r="C88" s="99">
        <v>260027738</v>
      </c>
      <c r="E88" s="96"/>
      <c r="F88" s="97"/>
      <c r="G88" s="98"/>
      <c r="H88" s="96"/>
      <c r="I88" s="96"/>
      <c r="J88" s="96"/>
    </row>
    <row r="89" spans="2:12" ht="17.25" customHeight="1" x14ac:dyDescent="0.15">
      <c r="B89" s="248" t="s">
        <v>511</v>
      </c>
      <c r="C89" s="249">
        <v>3000000000</v>
      </c>
      <c r="D89" s="99">
        <f>SUM(C82:C89)</f>
        <v>69517229096</v>
      </c>
      <c r="E89" s="96"/>
      <c r="F89" s="97">
        <v>6</v>
      </c>
      <c r="G89" s="95" t="s">
        <v>421</v>
      </c>
      <c r="H89" s="99">
        <v>2282433000</v>
      </c>
      <c r="I89" s="96"/>
      <c r="J89" s="99">
        <f>+H89</f>
        <v>2282433000</v>
      </c>
    </row>
    <row r="90" spans="2:12" ht="15.2" customHeight="1" x14ac:dyDescent="0.15">
      <c r="B90" s="98"/>
      <c r="C90" s="99"/>
      <c r="D90" s="99"/>
      <c r="E90" s="96"/>
      <c r="F90" s="97"/>
      <c r="G90" s="98"/>
      <c r="H90" s="96"/>
      <c r="I90" s="96"/>
      <c r="J90" s="96"/>
    </row>
    <row r="91" spans="2:12" ht="17.25" customHeight="1" x14ac:dyDescent="0.15">
      <c r="B91" s="98" t="s">
        <v>422</v>
      </c>
      <c r="C91" s="96" t="s">
        <v>2</v>
      </c>
      <c r="D91" s="96"/>
      <c r="E91" s="96"/>
      <c r="F91" s="97">
        <v>7</v>
      </c>
      <c r="G91" s="95" t="s">
        <v>423</v>
      </c>
      <c r="H91" s="99">
        <v>25064670.170000002</v>
      </c>
      <c r="I91" s="96"/>
      <c r="J91" s="99">
        <f>+H91</f>
        <v>25064670.170000002</v>
      </c>
      <c r="L91" s="90">
        <v>6915093.54</v>
      </c>
    </row>
    <row r="92" spans="2:12" ht="15.2" customHeight="1" x14ac:dyDescent="0.15">
      <c r="B92" s="98" t="s">
        <v>424</v>
      </c>
      <c r="C92" s="99">
        <v>17500000</v>
      </c>
      <c r="D92" s="99">
        <f>+C92</f>
        <v>17500000</v>
      </c>
      <c r="E92" s="99">
        <f>+D92+D89</f>
        <v>69534729096</v>
      </c>
      <c r="F92" s="97"/>
      <c r="G92" s="98"/>
      <c r="H92" s="96"/>
      <c r="I92" s="96"/>
      <c r="J92" s="96"/>
      <c r="L92" s="167">
        <f>+J91-L91</f>
        <v>18149576.630000003</v>
      </c>
    </row>
    <row r="93" spans="2:12" ht="15.2" customHeight="1" x14ac:dyDescent="0.15">
      <c r="B93" s="98"/>
      <c r="C93" s="96"/>
      <c r="D93" s="96"/>
      <c r="E93" s="96"/>
      <c r="F93" s="97">
        <v>8</v>
      </c>
      <c r="G93" s="95" t="s">
        <v>24</v>
      </c>
      <c r="H93" s="96" t="s">
        <v>2</v>
      </c>
      <c r="I93" s="96"/>
      <c r="J93" s="96"/>
    </row>
    <row r="94" spans="2:12" ht="17.25" customHeight="1" x14ac:dyDescent="0.15">
      <c r="B94" s="95" t="s">
        <v>425</v>
      </c>
      <c r="C94" s="96" t="s">
        <v>2</v>
      </c>
      <c r="D94" s="96"/>
      <c r="E94" s="96"/>
      <c r="F94" s="97"/>
      <c r="G94" s="98" t="s">
        <v>426</v>
      </c>
      <c r="H94" s="99">
        <v>841040075</v>
      </c>
      <c r="I94" s="96"/>
      <c r="J94" s="96"/>
    </row>
    <row r="95" spans="2:12" ht="17.25" customHeight="1" x14ac:dyDescent="0.15">
      <c r="B95" s="98" t="s">
        <v>419</v>
      </c>
      <c r="C95" s="99">
        <v>18576</v>
      </c>
      <c r="D95" s="96"/>
      <c r="E95" s="99">
        <f>+C95</f>
        <v>18576</v>
      </c>
      <c r="F95" s="97"/>
      <c r="G95" s="98" t="s">
        <v>427</v>
      </c>
      <c r="H95" s="99">
        <v>67712232.879999995</v>
      </c>
      <c r="I95" s="96"/>
      <c r="J95" s="96"/>
    </row>
    <row r="96" spans="2:12" ht="15.2" customHeight="1" x14ac:dyDescent="0.15">
      <c r="B96" s="98"/>
      <c r="C96" s="96"/>
      <c r="D96" s="96"/>
      <c r="E96" s="96"/>
      <c r="F96" s="97"/>
      <c r="G96" s="98" t="s">
        <v>428</v>
      </c>
      <c r="H96" s="99">
        <v>49925179.549999997</v>
      </c>
      <c r="I96" s="96"/>
      <c r="J96" s="96"/>
    </row>
    <row r="97" spans="1:10" ht="17.25" customHeight="1" x14ac:dyDescent="0.15">
      <c r="B97" s="95" t="s">
        <v>429</v>
      </c>
      <c r="C97" s="99">
        <v>2282433000</v>
      </c>
      <c r="D97" s="96"/>
      <c r="E97" s="99">
        <f>+C97</f>
        <v>2282433000</v>
      </c>
      <c r="F97" s="97"/>
      <c r="G97" s="98" t="s">
        <v>430</v>
      </c>
      <c r="H97" s="99">
        <v>11323857.439999999</v>
      </c>
      <c r="I97" s="96"/>
      <c r="J97" s="99">
        <f>SUM(H94:H97)</f>
        <v>970001344.87</v>
      </c>
    </row>
    <row r="98" spans="1:10" ht="13.35" customHeight="1" x14ac:dyDescent="0.15">
      <c r="B98" s="100"/>
      <c r="C98" s="101"/>
      <c r="D98" s="101"/>
      <c r="E98" s="101"/>
      <c r="F98" s="102"/>
      <c r="G98" s="100"/>
      <c r="H98" s="101"/>
      <c r="I98" s="101"/>
      <c r="J98" s="101"/>
    </row>
    <row r="99" spans="1:10" ht="17.25" customHeight="1" x14ac:dyDescent="0.15">
      <c r="B99" s="103" t="s">
        <v>19</v>
      </c>
      <c r="C99" s="104">
        <v>780039639</v>
      </c>
      <c r="D99" s="101"/>
      <c r="E99" s="104">
        <f>+C99</f>
        <v>780039639</v>
      </c>
      <c r="F99" s="102">
        <v>9</v>
      </c>
      <c r="G99" s="103" t="s">
        <v>25</v>
      </c>
      <c r="H99" s="101" t="s">
        <v>2</v>
      </c>
      <c r="I99" s="101"/>
      <c r="J99" s="101"/>
    </row>
    <row r="100" spans="1:10" ht="15.2" customHeight="1" x14ac:dyDescent="0.15">
      <c r="B100" s="100"/>
      <c r="C100" s="101"/>
      <c r="D100" s="101"/>
      <c r="E100" s="101"/>
      <c r="F100" s="102"/>
      <c r="G100" s="100" t="s">
        <v>172</v>
      </c>
      <c r="H100" s="104">
        <v>119056.04</v>
      </c>
      <c r="I100" s="101"/>
      <c r="J100" s="101"/>
    </row>
    <row r="101" spans="1:10" ht="17.25" customHeight="1" x14ac:dyDescent="0.15">
      <c r="B101" s="103" t="s">
        <v>12</v>
      </c>
      <c r="C101" s="101" t="s">
        <v>2</v>
      </c>
      <c r="D101" s="101"/>
      <c r="E101" s="101"/>
      <c r="F101" s="102"/>
      <c r="G101" s="100" t="s">
        <v>173</v>
      </c>
      <c r="H101" s="104">
        <v>10716672085.610001</v>
      </c>
      <c r="I101" s="101"/>
      <c r="J101" s="101"/>
    </row>
    <row r="102" spans="1:10" ht="17.25" customHeight="1" x14ac:dyDescent="0.15">
      <c r="A102" s="104"/>
      <c r="B102" s="100" t="s">
        <v>93</v>
      </c>
      <c r="C102" s="104">
        <v>58257843.630000003</v>
      </c>
      <c r="D102" s="101"/>
      <c r="E102" s="101"/>
      <c r="F102" s="102"/>
      <c r="G102" s="100" t="s">
        <v>174</v>
      </c>
      <c r="H102" s="104">
        <v>35778132.32</v>
      </c>
      <c r="I102" s="101"/>
      <c r="J102" s="101"/>
    </row>
    <row r="103" spans="1:10" ht="17.25" customHeight="1" x14ac:dyDescent="0.15">
      <c r="A103" s="104"/>
      <c r="B103" s="100" t="s">
        <v>94</v>
      </c>
      <c r="C103" s="104">
        <f>304141331.93+23084144.48</f>
        <v>327225476.41000003</v>
      </c>
      <c r="D103" s="101"/>
      <c r="E103" s="101"/>
      <c r="F103" s="102"/>
      <c r="G103" s="100" t="s">
        <v>515</v>
      </c>
      <c r="H103" s="104">
        <v>8200000</v>
      </c>
      <c r="I103" s="101"/>
      <c r="J103" s="101"/>
    </row>
    <row r="104" spans="1:10" ht="17.25" customHeight="1" x14ac:dyDescent="0.15">
      <c r="A104" s="104"/>
      <c r="B104" s="100" t="s">
        <v>95</v>
      </c>
      <c r="C104" s="104"/>
      <c r="D104" s="101"/>
      <c r="E104" s="101"/>
      <c r="F104" s="102"/>
      <c r="G104" s="100" t="s">
        <v>176</v>
      </c>
      <c r="H104" s="104">
        <v>1239207.47</v>
      </c>
      <c r="I104" s="101"/>
      <c r="J104" s="101"/>
    </row>
    <row r="105" spans="1:10" ht="17.25" customHeight="1" x14ac:dyDescent="0.15">
      <c r="A105" s="104"/>
      <c r="B105" s="100" t="s">
        <v>37</v>
      </c>
      <c r="C105" s="104">
        <v>113151754.36</v>
      </c>
      <c r="D105" s="101"/>
      <c r="E105" s="101"/>
      <c r="F105" s="102"/>
      <c r="G105" s="100" t="s">
        <v>468</v>
      </c>
      <c r="H105" s="104">
        <f>569438.5+552698.5+10470270.62+10983459.95+17646447.97</f>
        <v>40222315.539999999</v>
      </c>
      <c r="I105" s="101"/>
      <c r="J105" s="101"/>
    </row>
    <row r="106" spans="1:10" ht="17.25" customHeight="1" x14ac:dyDescent="0.15">
      <c r="A106" s="104"/>
      <c r="B106" s="100" t="s">
        <v>96</v>
      </c>
      <c r="C106" s="104">
        <v>0</v>
      </c>
      <c r="D106" s="101"/>
      <c r="E106" s="101"/>
      <c r="F106" s="102"/>
      <c r="G106" s="100" t="s">
        <v>431</v>
      </c>
      <c r="H106" s="104">
        <v>691357469.75</v>
      </c>
      <c r="I106" s="101"/>
      <c r="J106" s="104"/>
    </row>
    <row r="107" spans="1:10" ht="15.2" customHeight="1" x14ac:dyDescent="0.15">
      <c r="A107" s="104"/>
      <c r="B107" s="100" t="s">
        <v>63</v>
      </c>
      <c r="C107" s="104">
        <v>76320262.549999997</v>
      </c>
      <c r="D107" s="101"/>
      <c r="E107" s="101"/>
      <c r="F107" s="102"/>
      <c r="G107" s="100" t="s">
        <v>469</v>
      </c>
      <c r="H107" s="101">
        <v>421630137</v>
      </c>
      <c r="I107" s="101"/>
    </row>
    <row r="108" spans="1:10" ht="15.2" customHeight="1" x14ac:dyDescent="0.15">
      <c r="A108" s="104"/>
      <c r="B108" s="100" t="s">
        <v>98</v>
      </c>
      <c r="C108" s="104">
        <v>55554845.380000003</v>
      </c>
      <c r="D108" s="101"/>
      <c r="E108" s="101"/>
      <c r="F108" s="102"/>
      <c r="G108" s="100" t="s">
        <v>484</v>
      </c>
      <c r="H108" s="101">
        <v>1500150</v>
      </c>
      <c r="I108" s="101"/>
      <c r="J108" s="101">
        <f>SUM(H100:H108)</f>
        <v>11916718553.730001</v>
      </c>
    </row>
    <row r="109" spans="1:10" ht="15.2" customHeight="1" x14ac:dyDescent="0.15">
      <c r="A109" s="104"/>
      <c r="B109" s="100" t="s">
        <v>468</v>
      </c>
      <c r="C109" s="104">
        <f>18812628.45+17021425.45+43140.78+927145.5+834967.5</f>
        <v>37639307.68</v>
      </c>
      <c r="D109" s="101"/>
      <c r="E109" s="101"/>
      <c r="F109" s="102"/>
      <c r="G109" s="100"/>
      <c r="H109" s="101"/>
      <c r="I109" s="101"/>
      <c r="J109" s="101"/>
    </row>
    <row r="110" spans="1:10" ht="15.2" customHeight="1" x14ac:dyDescent="0.15">
      <c r="A110" s="104"/>
      <c r="B110" s="100" t="s">
        <v>101</v>
      </c>
      <c r="C110" s="104">
        <v>72877</v>
      </c>
      <c r="D110" s="101"/>
      <c r="E110" s="101"/>
      <c r="F110" s="102"/>
      <c r="G110" s="100"/>
      <c r="H110" s="101"/>
      <c r="I110" s="101"/>
      <c r="J110" s="101"/>
    </row>
    <row r="111" spans="1:10" ht="15.2" customHeight="1" x14ac:dyDescent="0.15">
      <c r="A111" s="104"/>
      <c r="B111" s="100" t="s">
        <v>100</v>
      </c>
      <c r="C111" s="104">
        <v>1096255878.6800001</v>
      </c>
      <c r="D111" s="101"/>
      <c r="E111" s="101"/>
      <c r="F111" s="102"/>
      <c r="G111" s="100"/>
      <c r="H111" s="101"/>
      <c r="I111" s="101"/>
      <c r="J111" s="101"/>
    </row>
    <row r="112" spans="1:10" ht="15.2" customHeight="1" x14ac:dyDescent="0.15">
      <c r="A112" s="104"/>
      <c r="B112" s="100" t="s">
        <v>432</v>
      </c>
      <c r="C112" s="104">
        <v>466635354.77999997</v>
      </c>
      <c r="D112" s="101"/>
      <c r="E112" s="101"/>
      <c r="F112" s="102"/>
      <c r="G112" s="100"/>
      <c r="H112" s="101"/>
      <c r="I112" s="101"/>
      <c r="J112" s="101"/>
    </row>
    <row r="113" spans="1:10" ht="15.2" customHeight="1" x14ac:dyDescent="0.15">
      <c r="A113" s="104"/>
      <c r="B113" s="100" t="s">
        <v>38</v>
      </c>
      <c r="C113" s="104">
        <v>36470895.68</v>
      </c>
      <c r="D113" s="101"/>
      <c r="E113" s="101"/>
      <c r="F113" s="102"/>
      <c r="G113" s="100"/>
      <c r="H113" s="101"/>
      <c r="I113" s="101"/>
      <c r="J113" s="101"/>
    </row>
    <row r="114" spans="1:10" ht="15.2" customHeight="1" x14ac:dyDescent="0.15">
      <c r="A114" s="104"/>
      <c r="B114" s="100" t="s">
        <v>102</v>
      </c>
      <c r="C114" s="104">
        <v>688735</v>
      </c>
      <c r="D114" s="101"/>
      <c r="E114" s="101"/>
      <c r="F114" s="102"/>
      <c r="G114" s="100"/>
      <c r="H114" s="101"/>
      <c r="I114" s="101"/>
      <c r="J114" s="101"/>
    </row>
    <row r="115" spans="1:10" ht="15.2" customHeight="1" x14ac:dyDescent="0.15">
      <c r="A115" s="104"/>
      <c r="B115" s="100" t="s">
        <v>103</v>
      </c>
      <c r="C115" s="104">
        <v>786000000</v>
      </c>
      <c r="D115" s="101"/>
      <c r="E115" s="101"/>
      <c r="F115" s="102"/>
      <c r="G115" s="100"/>
      <c r="H115" s="101"/>
      <c r="I115" s="101"/>
      <c r="J115" s="101"/>
    </row>
    <row r="116" spans="1:10" ht="15.2" customHeight="1" x14ac:dyDescent="0.15">
      <c r="A116" s="104"/>
      <c r="B116" s="100" t="s">
        <v>433</v>
      </c>
      <c r="C116" s="104">
        <v>7222608</v>
      </c>
      <c r="D116" s="101"/>
      <c r="E116" s="101"/>
      <c r="F116" s="102"/>
      <c r="G116" s="100"/>
      <c r="H116" s="101"/>
      <c r="I116" s="101"/>
      <c r="J116" s="101"/>
    </row>
    <row r="117" spans="1:10" s="252" customFormat="1" ht="15.2" customHeight="1" x14ac:dyDescent="0.15">
      <c r="A117" s="249"/>
      <c r="B117" s="248" t="s">
        <v>508</v>
      </c>
      <c r="C117" s="249">
        <v>35778132.32</v>
      </c>
      <c r="D117" s="250"/>
      <c r="F117" s="251"/>
      <c r="G117" s="248"/>
      <c r="H117" s="250"/>
      <c r="I117" s="250"/>
      <c r="J117" s="250"/>
    </row>
    <row r="118" spans="1:10" s="252" customFormat="1" ht="15.2" customHeight="1" x14ac:dyDescent="0.15">
      <c r="A118" s="253"/>
      <c r="B118" s="248" t="s">
        <v>513</v>
      </c>
      <c r="C118" s="249">
        <v>2512686.88</v>
      </c>
      <c r="D118" s="250"/>
      <c r="E118" s="249">
        <f>SUM(C102:C118)</f>
        <v>3099786658.3500004</v>
      </c>
      <c r="F118" s="251"/>
      <c r="G118" s="248"/>
      <c r="H118" s="250"/>
      <c r="I118" s="250"/>
      <c r="J118" s="250"/>
    </row>
    <row r="119" spans="1:10" ht="13.35" customHeight="1" x14ac:dyDescent="0.15">
      <c r="B119" s="100"/>
      <c r="C119" s="101"/>
      <c r="D119" s="101"/>
      <c r="E119" s="101"/>
      <c r="F119" s="102"/>
      <c r="G119" s="100"/>
      <c r="H119" s="101"/>
      <c r="I119" s="101"/>
      <c r="J119" s="101"/>
    </row>
    <row r="120" spans="1:10" ht="15.2" customHeight="1" x14ac:dyDescent="0.15">
      <c r="B120" s="103" t="s">
        <v>305</v>
      </c>
      <c r="C120" s="101" t="s">
        <v>2</v>
      </c>
      <c r="D120" s="101"/>
      <c r="E120" s="101"/>
      <c r="F120" s="102"/>
      <c r="G120" s="100"/>
      <c r="H120" s="101"/>
      <c r="I120" s="101"/>
      <c r="J120" s="101"/>
    </row>
    <row r="121" spans="1:10" ht="15.2" customHeight="1" x14ac:dyDescent="0.15">
      <c r="B121" s="100" t="s">
        <v>512</v>
      </c>
      <c r="C121" s="104">
        <v>500000000</v>
      </c>
      <c r="D121" s="101"/>
      <c r="E121" s="99">
        <f>+C121</f>
        <v>500000000</v>
      </c>
      <c r="F121" s="102"/>
      <c r="G121" s="100"/>
      <c r="H121" s="101"/>
      <c r="I121" s="101"/>
      <c r="J121" s="101"/>
    </row>
    <row r="122" spans="1:10" ht="13.35" customHeight="1" x14ac:dyDescent="0.15">
      <c r="B122" s="105" t="s">
        <v>3</v>
      </c>
      <c r="C122" s="106"/>
      <c r="D122" s="106"/>
      <c r="E122" s="107">
        <f>+E121+E118+E99+E97+E95+E92+E78+E45+E18</f>
        <v>184559241211.76001</v>
      </c>
      <c r="F122" s="105"/>
      <c r="G122" s="105" t="s">
        <v>3</v>
      </c>
      <c r="H122" s="106"/>
      <c r="I122" s="106"/>
      <c r="J122" s="107">
        <f>+J108+J97+J91+J89+J87+J84+J33+J19+J16</f>
        <v>184559241211.76001</v>
      </c>
    </row>
    <row r="124" spans="1:10" x14ac:dyDescent="0.15">
      <c r="E124" s="91">
        <f>+E122-BS!D34</f>
        <v>0.739990234375</v>
      </c>
      <c r="G124" s="167">
        <f>+E122-J122</f>
        <v>0</v>
      </c>
    </row>
    <row r="126" spans="1:10" x14ac:dyDescent="0.15">
      <c r="C126" s="91">
        <f>3099786658-E118</f>
        <v>-0.35000038146972656</v>
      </c>
    </row>
  </sheetData>
  <mergeCells count="5">
    <mergeCell ref="B2:J2"/>
    <mergeCell ref="B3:J3"/>
    <mergeCell ref="B4:J4"/>
    <mergeCell ref="B5:J5"/>
    <mergeCell ref="B6:J6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75"/>
  <sheetViews>
    <sheetView showGridLines="0" view="pageBreakPreview" zoomScale="85" zoomScaleNormal="55" zoomScaleSheetLayoutView="85" workbookViewId="0">
      <selection activeCell="B80" sqref="B80"/>
    </sheetView>
  </sheetViews>
  <sheetFormatPr defaultRowHeight="20.25" x14ac:dyDescent="0.3"/>
  <cols>
    <col min="1" max="1" width="9" style="13"/>
    <col min="2" max="2" width="81" style="13" customWidth="1"/>
    <col min="3" max="3" width="12" style="13" customWidth="1"/>
    <col min="4" max="4" width="25.75" style="34" customWidth="1"/>
    <col min="5" max="5" width="29.375" style="34" customWidth="1"/>
    <col min="6" max="6" width="16.25" style="13" bestFit="1" customWidth="1"/>
    <col min="7" max="16384" width="9" style="13"/>
  </cols>
  <sheetData>
    <row r="1" spans="2:5" ht="21" thickBot="1" x14ac:dyDescent="0.35"/>
    <row r="2" spans="2:5" x14ac:dyDescent="0.3">
      <c r="B2" s="316"/>
      <c r="C2" s="317"/>
      <c r="D2" s="318"/>
      <c r="E2" s="319"/>
    </row>
    <row r="3" spans="2:5" x14ac:dyDescent="0.3">
      <c r="B3" s="343" t="s">
        <v>542</v>
      </c>
      <c r="C3" s="344"/>
      <c r="D3" s="344"/>
      <c r="E3" s="345"/>
    </row>
    <row r="4" spans="2:5" x14ac:dyDescent="0.3">
      <c r="B4" s="273"/>
      <c r="C4" s="268"/>
      <c r="D4" s="189"/>
      <c r="E4" s="320"/>
    </row>
    <row r="5" spans="2:5" x14ac:dyDescent="0.3">
      <c r="B5" s="356" t="s">
        <v>541</v>
      </c>
      <c r="C5" s="357"/>
      <c r="D5" s="357"/>
      <c r="E5" s="358"/>
    </row>
    <row r="6" spans="2:5" x14ac:dyDescent="0.3">
      <c r="B6" s="283"/>
      <c r="C6" s="269"/>
      <c r="D6" s="190"/>
      <c r="E6" s="321" t="s">
        <v>488</v>
      </c>
    </row>
    <row r="7" spans="2:5" ht="45" customHeight="1" x14ac:dyDescent="0.3">
      <c r="B7" s="322" t="s">
        <v>0</v>
      </c>
      <c r="C7" s="16" t="s">
        <v>1</v>
      </c>
      <c r="D7" s="17" t="s">
        <v>499</v>
      </c>
      <c r="E7" s="323" t="s">
        <v>459</v>
      </c>
    </row>
    <row r="8" spans="2:5" x14ac:dyDescent="0.3">
      <c r="B8" s="324" t="s">
        <v>7</v>
      </c>
      <c r="C8" s="27"/>
      <c r="D8" s="153"/>
      <c r="E8" s="288"/>
    </row>
    <row r="9" spans="2:5" x14ac:dyDescent="0.3">
      <c r="B9" s="290"/>
      <c r="C9" s="23"/>
      <c r="D9" s="86"/>
      <c r="E9" s="282"/>
    </row>
    <row r="10" spans="2:5" x14ac:dyDescent="0.3">
      <c r="B10" s="290" t="s">
        <v>47</v>
      </c>
      <c r="C10" s="22">
        <f>BS!C30+1</f>
        <v>11</v>
      </c>
      <c r="D10" s="178">
        <f>+'Sch-PL'!D20</f>
        <v>11853036896.98</v>
      </c>
      <c r="E10" s="325">
        <f>+'Sch-PL'!F20</f>
        <v>11640016352</v>
      </c>
    </row>
    <row r="11" spans="2:5" x14ac:dyDescent="0.3">
      <c r="B11" s="290" t="s">
        <v>26</v>
      </c>
      <c r="C11" s="22">
        <v>12</v>
      </c>
      <c r="D11" s="178">
        <f>+'Sch-PL'!D24</f>
        <v>23774758.060000002</v>
      </c>
      <c r="E11" s="284">
        <v>18948510.620000001</v>
      </c>
    </row>
    <row r="12" spans="2:5" x14ac:dyDescent="0.3">
      <c r="B12" s="290" t="s">
        <v>254</v>
      </c>
      <c r="C12" s="22">
        <v>13</v>
      </c>
      <c r="D12" s="178">
        <f>+'Sch-PL'!D30</f>
        <v>216628832.00999999</v>
      </c>
      <c r="E12" s="284">
        <v>100186145.83</v>
      </c>
    </row>
    <row r="13" spans="2:5" x14ac:dyDescent="0.3">
      <c r="B13" s="292"/>
      <c r="C13" s="119"/>
      <c r="D13" s="171"/>
      <c r="E13" s="326"/>
    </row>
    <row r="14" spans="2:5" x14ac:dyDescent="0.3">
      <c r="B14" s="277" t="s">
        <v>8</v>
      </c>
      <c r="C14" s="20"/>
      <c r="D14" s="170">
        <f>+SUM(D10:D12)</f>
        <v>12093440487.049999</v>
      </c>
      <c r="E14" s="327">
        <f>+SUM(E10:E12)+1</f>
        <v>11759151009.450001</v>
      </c>
    </row>
    <row r="15" spans="2:5" x14ac:dyDescent="0.3">
      <c r="B15" s="324" t="s">
        <v>9</v>
      </c>
      <c r="C15" s="21"/>
      <c r="D15" s="153"/>
      <c r="E15" s="282"/>
    </row>
    <row r="16" spans="2:5" x14ac:dyDescent="0.3">
      <c r="B16" s="290"/>
      <c r="C16" s="22"/>
      <c r="D16" s="86"/>
      <c r="E16" s="282"/>
    </row>
    <row r="17" spans="2:5" x14ac:dyDescent="0.3">
      <c r="B17" s="290" t="s">
        <v>27</v>
      </c>
      <c r="C17" s="22">
        <f>C12+1</f>
        <v>14</v>
      </c>
      <c r="D17" s="178">
        <f>+'Sch-PL'!D35</f>
        <v>9282807944.6500015</v>
      </c>
      <c r="E17" s="328">
        <v>9316809751.6800003</v>
      </c>
    </row>
    <row r="18" spans="2:5" x14ac:dyDescent="0.3">
      <c r="B18" s="290" t="s">
        <v>28</v>
      </c>
      <c r="C18" s="22">
        <f>C17+1</f>
        <v>15</v>
      </c>
      <c r="D18" s="178">
        <f>+'Sch-PL'!D43</f>
        <v>473542327</v>
      </c>
      <c r="E18" s="328">
        <v>431154238</v>
      </c>
    </row>
    <row r="19" spans="2:5" x14ac:dyDescent="0.3">
      <c r="B19" s="329" t="s">
        <v>489</v>
      </c>
      <c r="C19" s="22">
        <f>C18+1</f>
        <v>16</v>
      </c>
      <c r="D19" s="179">
        <f>+'Sch-PL'!D50</f>
        <v>8590614</v>
      </c>
      <c r="E19" s="330">
        <v>21065102.920000002</v>
      </c>
    </row>
    <row r="20" spans="2:5" x14ac:dyDescent="0.3">
      <c r="B20" s="290" t="s">
        <v>29</v>
      </c>
      <c r="C20" s="22">
        <f>C19+1</f>
        <v>17</v>
      </c>
      <c r="D20" s="178">
        <f>+'Sch-PL'!D59</f>
        <v>90112212.570000008</v>
      </c>
      <c r="E20" s="328">
        <v>68997428.120000005</v>
      </c>
    </row>
    <row r="21" spans="2:5" x14ac:dyDescent="0.3">
      <c r="B21" s="290" t="s">
        <v>30</v>
      </c>
      <c r="C21" s="22"/>
      <c r="D21" s="179">
        <f>+'Draft-P&amp;L'!E33</f>
        <v>371751</v>
      </c>
      <c r="E21" s="330">
        <v>429395</v>
      </c>
    </row>
    <row r="22" spans="2:5" x14ac:dyDescent="0.3">
      <c r="B22" s="290" t="s">
        <v>31</v>
      </c>
      <c r="C22" s="22">
        <v>18</v>
      </c>
      <c r="D22" s="179">
        <f>+'Sch-PL'!D64</f>
        <v>3024523.58</v>
      </c>
      <c r="E22" s="330">
        <v>4169685.4699999997</v>
      </c>
    </row>
    <row r="23" spans="2:5" x14ac:dyDescent="0.3">
      <c r="B23" s="290" t="s">
        <v>212</v>
      </c>
      <c r="C23" s="22">
        <f>C22+1</f>
        <v>19</v>
      </c>
      <c r="D23" s="179">
        <f>+'Sch-PL'!D69</f>
        <v>11621070</v>
      </c>
      <c r="E23" s="330">
        <v>7506000</v>
      </c>
    </row>
    <row r="24" spans="2:5" x14ac:dyDescent="0.3">
      <c r="B24" s="290" t="s">
        <v>32</v>
      </c>
      <c r="C24" s="22">
        <f>C23+1</f>
        <v>20</v>
      </c>
      <c r="D24" s="179">
        <f>+'Sch-PL'!D79</f>
        <v>7629657.7699999996</v>
      </c>
      <c r="E24" s="330">
        <v>5298850.6899999995</v>
      </c>
    </row>
    <row r="25" spans="2:5" x14ac:dyDescent="0.3">
      <c r="B25" s="290" t="s">
        <v>33</v>
      </c>
      <c r="C25" s="22">
        <f>C24+1</f>
        <v>21</v>
      </c>
      <c r="D25" s="178">
        <f>+'Sch-PL'!D84</f>
        <v>13680414</v>
      </c>
      <c r="E25" s="328">
        <v>102046614.09</v>
      </c>
    </row>
    <row r="26" spans="2:5" x14ac:dyDescent="0.3">
      <c r="B26" s="290" t="s">
        <v>34</v>
      </c>
      <c r="C26" s="22">
        <f>C25+1</f>
        <v>22</v>
      </c>
      <c r="D26" s="178">
        <f>+'Sch-PL'!D104</f>
        <v>253576704.28000003</v>
      </c>
      <c r="E26" s="328">
        <v>282544465.64999998</v>
      </c>
    </row>
    <row r="27" spans="2:5" x14ac:dyDescent="0.3">
      <c r="B27" s="290" t="s">
        <v>35</v>
      </c>
      <c r="C27" s="22"/>
      <c r="D27" s="178">
        <f>+'Draft-P&amp;L'!E81</f>
        <v>39682084.57</v>
      </c>
      <c r="E27" s="328">
        <v>34826660.170000002</v>
      </c>
    </row>
    <row r="28" spans="2:5" x14ac:dyDescent="0.3">
      <c r="B28" s="290"/>
      <c r="C28" s="22"/>
      <c r="D28" s="86"/>
      <c r="E28" s="282"/>
    </row>
    <row r="29" spans="2:5" x14ac:dyDescent="0.3">
      <c r="B29" s="289" t="s">
        <v>36</v>
      </c>
      <c r="C29" s="22"/>
      <c r="D29" s="86"/>
      <c r="E29" s="282"/>
    </row>
    <row r="30" spans="2:5" x14ac:dyDescent="0.3">
      <c r="B30" s="290" t="s">
        <v>510</v>
      </c>
      <c r="C30" s="22"/>
      <c r="D30" s="178">
        <f>+'Draft-P&amp;L'!D84</f>
        <v>35778132.32</v>
      </c>
      <c r="E30" s="330">
        <v>5000000</v>
      </c>
    </row>
    <row r="31" spans="2:5" x14ac:dyDescent="0.3">
      <c r="B31" s="290" t="s">
        <v>39</v>
      </c>
      <c r="C31" s="23"/>
      <c r="D31" s="178">
        <f>+'Draft-P&amp;L'!D85-0.5</f>
        <v>85996096</v>
      </c>
      <c r="E31" s="328">
        <v>20404842.609999999</v>
      </c>
    </row>
    <row r="32" spans="2:5" x14ac:dyDescent="0.3">
      <c r="B32" s="290" t="s">
        <v>460</v>
      </c>
      <c r="C32" s="23"/>
      <c r="D32" s="178">
        <f>+'Draft-P&amp;L'!D93</f>
        <v>10000000</v>
      </c>
      <c r="E32" s="330">
        <v>5000000</v>
      </c>
    </row>
    <row r="33" spans="2:5" x14ac:dyDescent="0.3">
      <c r="B33" s="290" t="s">
        <v>40</v>
      </c>
      <c r="C33" s="24"/>
      <c r="D33" s="178">
        <f>+'Draft-P&amp;L'!D88</f>
        <v>20000000</v>
      </c>
      <c r="E33" s="330">
        <v>1000000</v>
      </c>
    </row>
    <row r="34" spans="2:5" x14ac:dyDescent="0.3">
      <c r="B34" s="290" t="s">
        <v>41</v>
      </c>
      <c r="C34" s="25"/>
      <c r="D34" s="178">
        <f>+'Draft-P&amp;L'!D86</f>
        <v>201432389</v>
      </c>
      <c r="E34" s="328">
        <v>150000000</v>
      </c>
    </row>
    <row r="35" spans="2:5" x14ac:dyDescent="0.3">
      <c r="B35" s="290" t="s">
        <v>492</v>
      </c>
      <c r="C35" s="25"/>
      <c r="D35" s="178">
        <f>+'Draft-P&amp;L'!D91</f>
        <v>73789478.680000007</v>
      </c>
      <c r="E35" s="328">
        <v>342100000</v>
      </c>
    </row>
    <row r="36" spans="2:5" x14ac:dyDescent="0.3">
      <c r="B36" s="290" t="s">
        <v>493</v>
      </c>
      <c r="C36" s="25"/>
      <c r="D36" s="178">
        <f>+'Draft-P&amp;L'!D87</f>
        <v>116000000</v>
      </c>
      <c r="E36" s="328">
        <v>21550000</v>
      </c>
    </row>
    <row r="37" spans="2:5" x14ac:dyDescent="0.3">
      <c r="B37" s="290" t="s">
        <v>494</v>
      </c>
      <c r="C37" s="72"/>
      <c r="D37" s="178">
        <f>+'Draft-P&amp;L'!D90</f>
        <v>20000000</v>
      </c>
      <c r="E37" s="328">
        <v>20000000</v>
      </c>
    </row>
    <row r="38" spans="2:5" x14ac:dyDescent="0.3">
      <c r="B38" s="290" t="s">
        <v>495</v>
      </c>
      <c r="C38" s="72"/>
      <c r="D38" s="178">
        <f>+'Draft-P&amp;L'!D92</f>
        <v>50000000</v>
      </c>
      <c r="E38" s="328">
        <v>40000000</v>
      </c>
    </row>
    <row r="39" spans="2:5" x14ac:dyDescent="0.3">
      <c r="B39" s="331"/>
      <c r="C39" s="73"/>
      <c r="D39" s="83"/>
      <c r="E39" s="332"/>
    </row>
    <row r="40" spans="2:5" x14ac:dyDescent="0.3">
      <c r="B40" s="333" t="s">
        <v>10</v>
      </c>
      <c r="C40" s="26"/>
      <c r="D40" s="170">
        <f>+SUM(D17:D38)+2</f>
        <v>10797635401.420002</v>
      </c>
      <c r="E40" s="286">
        <f>+SUM(E17:E38)+1</f>
        <v>10879903035.400002</v>
      </c>
    </row>
    <row r="41" spans="2:5" x14ac:dyDescent="0.3">
      <c r="B41" s="290"/>
      <c r="C41" s="27"/>
      <c r="D41" s="153"/>
      <c r="E41" s="282"/>
    </row>
    <row r="42" spans="2:5" x14ac:dyDescent="0.3">
      <c r="B42" s="289" t="s">
        <v>11</v>
      </c>
      <c r="C42" s="28"/>
      <c r="D42" s="181">
        <f>+D14-D40</f>
        <v>1295805085.6299973</v>
      </c>
      <c r="E42" s="334">
        <f>+E14-E40</f>
        <v>879247974.04999924</v>
      </c>
    </row>
    <row r="43" spans="2:5" x14ac:dyDescent="0.3">
      <c r="B43" s="290"/>
      <c r="C43" s="23"/>
      <c r="D43" s="182"/>
      <c r="E43" s="335"/>
    </row>
    <row r="44" spans="2:5" x14ac:dyDescent="0.3">
      <c r="B44" s="289" t="s">
        <v>42</v>
      </c>
      <c r="C44" s="23"/>
      <c r="D44" s="182"/>
      <c r="E44" s="335"/>
    </row>
    <row r="45" spans="2:5" x14ac:dyDescent="0.3">
      <c r="B45" s="290" t="s">
        <v>43</v>
      </c>
      <c r="C45" s="23"/>
      <c r="D45" s="178">
        <f>+'Draft-P&amp;L'!D89</f>
        <v>786000000</v>
      </c>
      <c r="E45" s="328">
        <v>525250000</v>
      </c>
    </row>
    <row r="46" spans="2:5" x14ac:dyDescent="0.3">
      <c r="B46" s="290" t="s">
        <v>44</v>
      </c>
      <c r="C46" s="23"/>
      <c r="D46" s="180">
        <v>0</v>
      </c>
      <c r="E46" s="336">
        <v>0</v>
      </c>
    </row>
    <row r="47" spans="2:5" x14ac:dyDescent="0.3">
      <c r="B47" s="290" t="s">
        <v>45</v>
      </c>
      <c r="C47" s="23"/>
      <c r="D47" s="179">
        <f>+SUM('Draft-P&amp;L'!D75:D78)</f>
        <v>9805086</v>
      </c>
      <c r="E47" s="328">
        <v>11497974</v>
      </c>
    </row>
    <row r="48" spans="2:5" x14ac:dyDescent="0.3">
      <c r="B48" s="290"/>
      <c r="C48" s="23"/>
      <c r="D48" s="183"/>
      <c r="E48" s="335"/>
    </row>
    <row r="49" spans="2:5" x14ac:dyDescent="0.3">
      <c r="B49" s="337" t="s">
        <v>46</v>
      </c>
      <c r="C49" s="30"/>
      <c r="D49" s="174">
        <f>+D42-D45-D47</f>
        <v>499999999.62999725</v>
      </c>
      <c r="E49" s="286">
        <f>+E42-E45-E47</f>
        <v>342500000.04999924</v>
      </c>
    </row>
    <row r="50" spans="2:5" x14ac:dyDescent="0.3">
      <c r="B50" s="338"/>
      <c r="C50" s="31"/>
      <c r="D50" s="87"/>
      <c r="E50" s="296"/>
    </row>
    <row r="51" spans="2:5" x14ac:dyDescent="0.3">
      <c r="B51" s="339" t="s">
        <v>240</v>
      </c>
      <c r="C51" s="1"/>
      <c r="D51" s="154"/>
      <c r="E51" s="298"/>
    </row>
    <row r="52" spans="2:5" x14ac:dyDescent="0.3">
      <c r="B52" s="340" t="s">
        <v>5</v>
      </c>
      <c r="C52" s="2">
        <v>23</v>
      </c>
      <c r="D52" s="154"/>
      <c r="E52" s="298"/>
    </row>
    <row r="53" spans="2:5" x14ac:dyDescent="0.3">
      <c r="B53" s="340" t="s">
        <v>4</v>
      </c>
      <c r="C53" s="2">
        <v>24</v>
      </c>
      <c r="D53" s="154"/>
      <c r="E53" s="298"/>
    </row>
    <row r="54" spans="2:5" x14ac:dyDescent="0.3">
      <c r="B54" s="340"/>
      <c r="C54" s="2"/>
      <c r="D54" s="154"/>
      <c r="E54" s="298"/>
    </row>
    <row r="55" spans="2:5" x14ac:dyDescent="0.3">
      <c r="B55" s="300" t="s">
        <v>463</v>
      </c>
      <c r="C55" s="1"/>
      <c r="D55" s="154"/>
      <c r="E55" s="298"/>
    </row>
    <row r="56" spans="2:5" x14ac:dyDescent="0.3">
      <c r="B56" s="301" t="s">
        <v>461</v>
      </c>
      <c r="C56" s="1"/>
      <c r="D56" s="154"/>
      <c r="E56" s="298"/>
    </row>
    <row r="57" spans="2:5" x14ac:dyDescent="0.3">
      <c r="B57" s="302" t="s">
        <v>6</v>
      </c>
      <c r="C57" s="1"/>
      <c r="D57" s="154"/>
      <c r="E57" s="298"/>
    </row>
    <row r="58" spans="2:5" x14ac:dyDescent="0.3">
      <c r="B58" s="300" t="s">
        <v>462</v>
      </c>
      <c r="C58" s="9"/>
      <c r="D58" s="9"/>
      <c r="E58" s="303"/>
    </row>
    <row r="59" spans="2:5" x14ac:dyDescent="0.3">
      <c r="B59" s="300"/>
      <c r="C59" s="9"/>
      <c r="D59" s="9"/>
      <c r="E59" s="303"/>
    </row>
    <row r="60" spans="2:5" x14ac:dyDescent="0.3">
      <c r="B60" s="304"/>
      <c r="C60" s="4"/>
      <c r="D60" s="10" t="s">
        <v>246</v>
      </c>
      <c r="E60" s="341"/>
    </row>
    <row r="61" spans="2:5" x14ac:dyDescent="0.3">
      <c r="B61" s="307" t="s">
        <v>480</v>
      </c>
      <c r="C61" s="3"/>
      <c r="D61" s="11"/>
      <c r="E61" s="342"/>
    </row>
    <row r="62" spans="2:5" x14ac:dyDescent="0.3">
      <c r="B62" s="300" t="s">
        <v>243</v>
      </c>
      <c r="C62" s="5"/>
      <c r="D62" s="155"/>
      <c r="E62" s="309"/>
    </row>
    <row r="63" spans="2:5" x14ac:dyDescent="0.3">
      <c r="B63" s="300" t="s">
        <v>481</v>
      </c>
      <c r="C63" s="11"/>
      <c r="D63" s="11"/>
      <c r="E63" s="310"/>
    </row>
    <row r="64" spans="2:5" x14ac:dyDescent="0.3">
      <c r="B64" s="311"/>
      <c r="C64" s="11"/>
      <c r="D64" s="11"/>
      <c r="E64" s="310"/>
    </row>
    <row r="65" spans="2:6" x14ac:dyDescent="0.3">
      <c r="B65" s="311"/>
      <c r="C65" s="11"/>
      <c r="D65" s="11"/>
      <c r="E65" s="310"/>
    </row>
    <row r="66" spans="2:6" x14ac:dyDescent="0.3">
      <c r="B66" s="311"/>
      <c r="C66" s="11"/>
      <c r="D66" s="11"/>
      <c r="E66" s="310"/>
    </row>
    <row r="67" spans="2:6" x14ac:dyDescent="0.3">
      <c r="B67" s="311"/>
      <c r="C67" s="6"/>
      <c r="D67" s="156"/>
      <c r="E67" s="309"/>
    </row>
    <row r="68" spans="2:6" x14ac:dyDescent="0.3">
      <c r="B68" s="312"/>
      <c r="C68" s="7"/>
      <c r="D68" s="157"/>
      <c r="E68" s="313"/>
    </row>
    <row r="69" spans="2:6" x14ac:dyDescent="0.3">
      <c r="B69" s="314"/>
      <c r="C69" s="191"/>
      <c r="D69" s="8"/>
      <c r="E69" s="298"/>
    </row>
    <row r="70" spans="2:6" x14ac:dyDescent="0.3">
      <c r="B70" s="349" t="s">
        <v>536</v>
      </c>
      <c r="C70" s="350"/>
      <c r="D70" s="350"/>
      <c r="E70" s="351"/>
    </row>
    <row r="71" spans="2:6" x14ac:dyDescent="0.3">
      <c r="B71" s="315"/>
      <c r="C71" s="6"/>
      <c r="D71" s="156"/>
      <c r="E71" s="309"/>
    </row>
    <row r="72" spans="2:6" x14ac:dyDescent="0.3">
      <c r="B72" s="311" t="s">
        <v>474</v>
      </c>
      <c r="C72" s="6"/>
      <c r="D72" s="156"/>
      <c r="E72" s="309"/>
    </row>
    <row r="73" spans="2:6" x14ac:dyDescent="0.3">
      <c r="B73" s="311" t="s">
        <v>539</v>
      </c>
      <c r="C73" s="6"/>
      <c r="D73" s="156"/>
      <c r="E73" s="309"/>
    </row>
    <row r="74" spans="2:6" x14ac:dyDescent="0.3">
      <c r="B74" s="370"/>
      <c r="C74" s="7"/>
      <c r="D74" s="157"/>
      <c r="E74" s="310"/>
    </row>
    <row r="75" spans="2:6" x14ac:dyDescent="0.3">
      <c r="B75" s="371"/>
      <c r="C75" s="371"/>
      <c r="D75" s="372"/>
      <c r="E75" s="372"/>
      <c r="F75" s="371"/>
    </row>
  </sheetData>
  <mergeCells count="3">
    <mergeCell ref="B5:E5"/>
    <mergeCell ref="B3:E3"/>
    <mergeCell ref="B70:E70"/>
  </mergeCells>
  <printOptions horizontalCentered="1"/>
  <pageMargins left="0.70866141732283472" right="0.70866141732283472" top="0.35433070866141736" bottom="0.35433070866141736" header="0" footer="0"/>
  <pageSetup paperSize="9" scale="4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104"/>
  <sheetViews>
    <sheetView showGridLines="0" tabSelected="1" view="pageBreakPreview" zoomScale="50" zoomScaleSheetLayoutView="50" workbookViewId="0">
      <selection activeCell="C113" sqref="C113"/>
    </sheetView>
  </sheetViews>
  <sheetFormatPr defaultRowHeight="33" x14ac:dyDescent="0.45"/>
  <cols>
    <col min="1" max="1" width="9" style="35"/>
    <col min="2" max="2" width="109.375" style="35" customWidth="1"/>
    <col min="3" max="3" width="34" style="44" customWidth="1"/>
    <col min="4" max="4" width="37" style="44" customWidth="1"/>
    <col min="5" max="5" width="36.125" style="44" customWidth="1"/>
    <col min="6" max="6" width="37.125" style="44" customWidth="1"/>
    <col min="7" max="7" width="41.75" style="35" bestFit="1" customWidth="1"/>
    <col min="8" max="14" width="9" style="35"/>
    <col min="15" max="15" width="29.25" style="35" bestFit="1" customWidth="1"/>
    <col min="16" max="16384" width="9" style="35"/>
  </cols>
  <sheetData>
    <row r="1" spans="2:6" x14ac:dyDescent="0.45">
      <c r="B1" s="262"/>
      <c r="C1" s="208"/>
      <c r="D1" s="208"/>
      <c r="E1" s="208"/>
      <c r="F1" s="208"/>
    </row>
    <row r="2" spans="2:6" ht="33.75" x14ac:dyDescent="0.5">
      <c r="B2" s="359" t="s">
        <v>244</v>
      </c>
      <c r="C2" s="359"/>
      <c r="D2" s="359"/>
      <c r="E2" s="359"/>
      <c r="F2" s="359"/>
    </row>
    <row r="3" spans="2:6" x14ac:dyDescent="0.45">
      <c r="B3" s="262"/>
      <c r="C3" s="208"/>
      <c r="D3" s="208"/>
      <c r="E3" s="208"/>
      <c r="F3" s="208"/>
    </row>
    <row r="4" spans="2:6" ht="33.75" x14ac:dyDescent="0.5">
      <c r="B4" s="360" t="s">
        <v>498</v>
      </c>
      <c r="C4" s="360"/>
      <c r="D4" s="360"/>
      <c r="E4" s="360"/>
      <c r="F4" s="360"/>
    </row>
    <row r="5" spans="2:6" x14ac:dyDescent="0.45">
      <c r="B5" s="262"/>
      <c r="C5" s="208"/>
      <c r="D5" s="208"/>
      <c r="E5" s="208"/>
      <c r="F5" s="208"/>
    </row>
    <row r="6" spans="2:6" ht="85.5" customHeight="1" x14ac:dyDescent="0.5">
      <c r="B6" s="57" t="s">
        <v>0</v>
      </c>
      <c r="C6" s="158"/>
      <c r="D6" s="66" t="s">
        <v>520</v>
      </c>
      <c r="E6" s="158"/>
      <c r="F6" s="66" t="s">
        <v>455</v>
      </c>
    </row>
    <row r="7" spans="2:6" x14ac:dyDescent="0.45">
      <c r="B7" s="184"/>
      <c r="C7" s="150"/>
      <c r="D7" s="41"/>
      <c r="E7" s="41"/>
      <c r="F7" s="41"/>
    </row>
    <row r="8" spans="2:6" ht="33.75" x14ac:dyDescent="0.5">
      <c r="B8" s="209" t="s">
        <v>181</v>
      </c>
      <c r="C8" s="142"/>
      <c r="D8" s="143"/>
      <c r="E8" s="39"/>
      <c r="F8" s="39"/>
    </row>
    <row r="9" spans="2:6" x14ac:dyDescent="0.45">
      <c r="B9" s="184" t="s">
        <v>182</v>
      </c>
      <c r="C9" s="141"/>
      <c r="D9" s="204">
        <f>+'Draft-P&amp;L'!H11+0.5</f>
        <v>9346813991.9799995</v>
      </c>
      <c r="E9" s="39"/>
      <c r="F9" s="204">
        <v>8396453814</v>
      </c>
    </row>
    <row r="10" spans="2:6" x14ac:dyDescent="0.45">
      <c r="B10" s="184"/>
      <c r="C10" s="141"/>
      <c r="D10" s="39"/>
      <c r="E10" s="39"/>
      <c r="F10" s="204"/>
    </row>
    <row r="11" spans="2:6" x14ac:dyDescent="0.45">
      <c r="B11" s="184" t="s">
        <v>183</v>
      </c>
      <c r="C11" s="207">
        <f>+'Draft-P&amp;L'!H9</f>
        <v>1909192828</v>
      </c>
      <c r="D11" s="39"/>
      <c r="E11" s="207">
        <v>2019647612.6800001</v>
      </c>
      <c r="F11" s="204"/>
    </row>
    <row r="12" spans="2:6" x14ac:dyDescent="0.45">
      <c r="B12" s="184" t="s">
        <v>184</v>
      </c>
      <c r="C12" s="205">
        <f>+'Draft-P&amp;L'!H10</f>
        <v>596853901</v>
      </c>
      <c r="D12" s="204">
        <f>+SUM(C11:C12)</f>
        <v>2506046729</v>
      </c>
      <c r="E12" s="205">
        <v>1084712937</v>
      </c>
      <c r="F12" s="204">
        <v>3104360550</v>
      </c>
    </row>
    <row r="13" spans="2:6" x14ac:dyDescent="0.45">
      <c r="B13" s="49"/>
      <c r="C13" s="141"/>
      <c r="D13" s="39"/>
      <c r="E13" s="39"/>
      <c r="F13" s="39"/>
    </row>
    <row r="14" spans="2:6" x14ac:dyDescent="0.45">
      <c r="B14" s="49" t="s">
        <v>185</v>
      </c>
      <c r="C14" s="206">
        <f>+'Draft-P&amp;L'!H12</f>
        <v>176176</v>
      </c>
      <c r="D14" s="39"/>
      <c r="E14" s="141">
        <v>801988.4</v>
      </c>
      <c r="F14" s="39"/>
    </row>
    <row r="15" spans="2:6" x14ac:dyDescent="0.45">
      <c r="B15" s="49" t="s">
        <v>186</v>
      </c>
      <c r="C15" s="219">
        <f>+'Draft-P&amp;L'!H15</f>
        <v>0</v>
      </c>
      <c r="D15" s="39"/>
      <c r="E15" s="39">
        <v>20000000</v>
      </c>
      <c r="F15" s="39"/>
    </row>
    <row r="16" spans="2:6" x14ac:dyDescent="0.45">
      <c r="B16" s="49" t="s">
        <v>482</v>
      </c>
      <c r="C16" s="219">
        <v>0</v>
      </c>
      <c r="D16" s="39"/>
      <c r="E16" s="39">
        <v>30000000</v>
      </c>
      <c r="F16" s="39"/>
    </row>
    <row r="17" spans="2:6" x14ac:dyDescent="0.45">
      <c r="B17" s="49" t="s">
        <v>483</v>
      </c>
      <c r="C17" s="219">
        <v>0</v>
      </c>
      <c r="D17" s="39"/>
      <c r="E17" s="39">
        <v>88400000</v>
      </c>
      <c r="F17" s="39"/>
    </row>
    <row r="18" spans="2:6" x14ac:dyDescent="0.45">
      <c r="B18" s="49"/>
      <c r="C18" s="220"/>
      <c r="D18" s="39">
        <f>+SUM(C14:C18)</f>
        <v>176176</v>
      </c>
      <c r="E18" s="144"/>
      <c r="F18" s="204">
        <v>139201988</v>
      </c>
    </row>
    <row r="19" spans="2:6" x14ac:dyDescent="0.45">
      <c r="B19" s="49"/>
      <c r="C19" s="141"/>
      <c r="D19" s="39"/>
      <c r="E19" s="39"/>
      <c r="F19" s="39"/>
    </row>
    <row r="20" spans="2:6" ht="34.5" thickBot="1" x14ac:dyDescent="0.55000000000000004">
      <c r="B20" s="49"/>
      <c r="C20" s="141"/>
      <c r="D20" s="210">
        <f>+SUM(D9:D18)</f>
        <v>11853036896.98</v>
      </c>
      <c r="E20" s="204"/>
      <c r="F20" s="210">
        <f>SUM(F9:F18)</f>
        <v>11640016352</v>
      </c>
    </row>
    <row r="21" spans="2:6" ht="33.75" thickTop="1" x14ac:dyDescent="0.45">
      <c r="B21" s="49"/>
      <c r="C21" s="141"/>
      <c r="D21" s="39"/>
      <c r="E21" s="39"/>
      <c r="F21" s="39"/>
    </row>
    <row r="22" spans="2:6" ht="33.75" x14ac:dyDescent="0.5">
      <c r="B22" s="50" t="s">
        <v>187</v>
      </c>
      <c r="C22" s="142"/>
      <c r="D22" s="143"/>
      <c r="E22" s="39"/>
      <c r="F22" s="39"/>
    </row>
    <row r="23" spans="2:6" x14ac:dyDescent="0.45">
      <c r="B23" s="49" t="s">
        <v>13</v>
      </c>
      <c r="C23" s="141"/>
      <c r="D23" s="205">
        <f>+'Draft-P&amp;L'!H19</f>
        <v>23774758.060000002</v>
      </c>
      <c r="E23" s="39"/>
      <c r="F23" s="205">
        <v>18948510.620000001</v>
      </c>
    </row>
    <row r="24" spans="2:6" ht="34.5" thickBot="1" x14ac:dyDescent="0.55000000000000004">
      <c r="B24" s="49"/>
      <c r="C24" s="141"/>
      <c r="D24" s="210">
        <f>+D23</f>
        <v>23774758.060000002</v>
      </c>
      <c r="E24" s="39"/>
      <c r="F24" s="210">
        <v>18948510.620000001</v>
      </c>
    </row>
    <row r="25" spans="2:6" ht="33.75" thickTop="1" x14ac:dyDescent="0.45">
      <c r="B25" s="49"/>
      <c r="C25" s="141"/>
      <c r="D25" s="39"/>
      <c r="E25" s="39"/>
      <c r="F25" s="39"/>
    </row>
    <row r="26" spans="2:6" ht="33.75" x14ac:dyDescent="0.5">
      <c r="B26" s="50" t="s">
        <v>538</v>
      </c>
      <c r="C26" s="142"/>
      <c r="D26" s="143"/>
      <c r="E26" s="39"/>
      <c r="F26" s="39"/>
    </row>
    <row r="27" spans="2:6" x14ac:dyDescent="0.45">
      <c r="B27" s="49" t="s">
        <v>188</v>
      </c>
      <c r="C27" s="141"/>
      <c r="D27" s="204">
        <f>+'Draft-P&amp;L'!H22</f>
        <v>30105000</v>
      </c>
      <c r="E27" s="39"/>
      <c r="F27" s="204">
        <v>30090000</v>
      </c>
    </row>
    <row r="28" spans="2:6" x14ac:dyDescent="0.45">
      <c r="B28" s="49" t="s">
        <v>189</v>
      </c>
      <c r="C28" s="141"/>
      <c r="D28" s="204">
        <f>+'Draft-P&amp;L'!I31</f>
        <v>140408382.00999999</v>
      </c>
      <c r="E28" s="39"/>
      <c r="F28" s="204">
        <v>70096145.829999998</v>
      </c>
    </row>
    <row r="29" spans="2:6" x14ac:dyDescent="0.45">
      <c r="B29" s="49" t="s">
        <v>501</v>
      </c>
      <c r="C29" s="141"/>
      <c r="D29" s="204">
        <f>+'Draft-P&amp;L'!I35</f>
        <v>46115450</v>
      </c>
      <c r="E29" s="39"/>
      <c r="F29" s="258">
        <v>0</v>
      </c>
    </row>
    <row r="30" spans="2:6" ht="34.5" thickBot="1" x14ac:dyDescent="0.55000000000000004">
      <c r="B30" s="49"/>
      <c r="C30" s="141"/>
      <c r="D30" s="210">
        <f>SUM(D27:D29)</f>
        <v>216628832.00999999</v>
      </c>
      <c r="E30" s="39"/>
      <c r="F30" s="210">
        <v>100186145.83</v>
      </c>
    </row>
    <row r="31" spans="2:6" ht="33.75" thickTop="1" x14ac:dyDescent="0.45">
      <c r="B31" s="49"/>
      <c r="C31" s="141"/>
      <c r="D31" s="39"/>
      <c r="E31" s="39"/>
      <c r="F31" s="39"/>
    </row>
    <row r="32" spans="2:6" ht="33.75" x14ac:dyDescent="0.5">
      <c r="B32" s="46" t="s">
        <v>190</v>
      </c>
      <c r="C32" s="134"/>
      <c r="D32" s="135"/>
      <c r="E32" s="39"/>
      <c r="F32" s="39"/>
    </row>
    <row r="33" spans="2:15" x14ac:dyDescent="0.45">
      <c r="B33" s="49" t="s">
        <v>191</v>
      </c>
      <c r="C33" s="141"/>
      <c r="D33" s="204">
        <f>+'Draft-P&amp;L'!D9</f>
        <v>5422548771.8500004</v>
      </c>
      <c r="E33" s="39"/>
      <c r="F33" s="204">
        <v>5189500472.6800003</v>
      </c>
    </row>
    <row r="34" spans="2:15" x14ac:dyDescent="0.45">
      <c r="B34" s="49" t="s">
        <v>192</v>
      </c>
      <c r="C34" s="141"/>
      <c r="D34" s="204">
        <f>+'Draft-P&amp;L'!D10</f>
        <v>3860259172.8000002</v>
      </c>
      <c r="E34" s="39"/>
      <c r="F34" s="204">
        <v>4127309279</v>
      </c>
    </row>
    <row r="35" spans="2:15" ht="34.5" thickBot="1" x14ac:dyDescent="0.55000000000000004">
      <c r="B35" s="49"/>
      <c r="C35" s="141"/>
      <c r="D35" s="210">
        <f>SUM(D33:D34)</f>
        <v>9282807944.6500015</v>
      </c>
      <c r="E35" s="39"/>
      <c r="F35" s="210">
        <v>9316809751.6800003</v>
      </c>
    </row>
    <row r="36" spans="2:15" ht="33.75" thickTop="1" x14ac:dyDescent="0.45">
      <c r="B36" s="49"/>
      <c r="C36" s="141"/>
      <c r="D36" s="160"/>
      <c r="E36" s="39"/>
      <c r="F36" s="39"/>
    </row>
    <row r="37" spans="2:15" ht="33.75" x14ac:dyDescent="0.5">
      <c r="B37" s="46" t="s">
        <v>193</v>
      </c>
      <c r="C37" s="134"/>
      <c r="D37" s="161"/>
      <c r="E37" s="39"/>
      <c r="F37" s="39"/>
    </row>
    <row r="38" spans="2:15" x14ac:dyDescent="0.45">
      <c r="B38" s="49" t="s">
        <v>194</v>
      </c>
      <c r="C38" s="141"/>
      <c r="D38" s="204">
        <f>+'Draft-P&amp;L'!D13</f>
        <v>400094649</v>
      </c>
      <c r="E38" s="39"/>
      <c r="F38" s="204">
        <v>363027118.55000001</v>
      </c>
    </row>
    <row r="39" spans="2:15" x14ac:dyDescent="0.45">
      <c r="B39" s="49" t="s">
        <v>195</v>
      </c>
      <c r="C39" s="141"/>
      <c r="D39" s="212">
        <f>+'Draft-P&amp;L'!D14</f>
        <v>4382240</v>
      </c>
      <c r="E39" s="39"/>
      <c r="F39" s="212">
        <v>3902612</v>
      </c>
    </row>
    <row r="40" spans="2:15" x14ac:dyDescent="0.45">
      <c r="B40" s="49" t="s">
        <v>196</v>
      </c>
      <c r="C40" s="141"/>
      <c r="D40" s="204">
        <f>+'Draft-P&amp;L'!D15</f>
        <v>40602982</v>
      </c>
      <c r="E40" s="39"/>
      <c r="F40" s="204">
        <v>38727087</v>
      </c>
    </row>
    <row r="41" spans="2:15" x14ac:dyDescent="0.45">
      <c r="B41" s="49" t="s">
        <v>235</v>
      </c>
      <c r="C41" s="141"/>
      <c r="D41" s="204">
        <f>+'Draft-P&amp;L'!D71</f>
        <v>18508174</v>
      </c>
      <c r="E41" s="39"/>
      <c r="F41" s="204">
        <v>16044101</v>
      </c>
      <c r="O41" s="44"/>
    </row>
    <row r="42" spans="2:15" x14ac:dyDescent="0.45">
      <c r="B42" s="49" t="s">
        <v>236</v>
      </c>
      <c r="C42" s="141"/>
      <c r="D42" s="212">
        <f>+'Draft-P&amp;L'!D72</f>
        <v>9954282</v>
      </c>
      <c r="E42" s="39"/>
      <c r="F42" s="212">
        <v>9453319</v>
      </c>
      <c r="O42" s="44"/>
    </row>
    <row r="43" spans="2:15" ht="34.5" thickBot="1" x14ac:dyDescent="0.55000000000000004">
      <c r="B43" s="49"/>
      <c r="C43" s="141"/>
      <c r="D43" s="214">
        <f>SUM(D38:D42)</f>
        <v>473542327</v>
      </c>
      <c r="E43" s="210"/>
      <c r="F43" s="214">
        <v>431154237.55000001</v>
      </c>
    </row>
    <row r="44" spans="2:15" ht="33.75" thickTop="1" x14ac:dyDescent="0.45">
      <c r="B44" s="49"/>
      <c r="C44" s="141"/>
      <c r="D44" s="150"/>
      <c r="E44" s="208"/>
      <c r="F44" s="150"/>
    </row>
    <row r="45" spans="2:15" ht="101.25" x14ac:dyDescent="0.5">
      <c r="B45" s="58" t="s">
        <v>197</v>
      </c>
      <c r="C45" s="159"/>
      <c r="D45" s="159"/>
      <c r="E45" s="208"/>
      <c r="F45" s="141"/>
    </row>
    <row r="46" spans="2:15" x14ac:dyDescent="0.45">
      <c r="B46" s="49" t="s">
        <v>198</v>
      </c>
      <c r="C46" s="141"/>
      <c r="D46" s="141">
        <f>+'Draft-P&amp;L'!D19</f>
        <v>535000</v>
      </c>
      <c r="E46" s="208"/>
      <c r="F46" s="141">
        <v>300000</v>
      </c>
    </row>
    <row r="47" spans="2:15" x14ac:dyDescent="0.45">
      <c r="B47" s="49" t="s">
        <v>199</v>
      </c>
      <c r="C47" s="141"/>
      <c r="D47" s="141">
        <f>+'Draft-P&amp;L'!D20</f>
        <v>274000</v>
      </c>
      <c r="E47" s="208"/>
      <c r="F47" s="141">
        <v>180000</v>
      </c>
    </row>
    <row r="48" spans="2:15" x14ac:dyDescent="0.45">
      <c r="B48" s="49" t="s">
        <v>200</v>
      </c>
      <c r="C48" s="141"/>
      <c r="D48" s="141">
        <f>+'Draft-P&amp;L'!D21</f>
        <v>7781614</v>
      </c>
      <c r="E48" s="208"/>
      <c r="F48" s="141">
        <v>6506565</v>
      </c>
    </row>
    <row r="49" spans="2:6" x14ac:dyDescent="0.45">
      <c r="B49" s="49" t="s">
        <v>201</v>
      </c>
      <c r="C49" s="141"/>
      <c r="D49" s="141">
        <f>+'Draft-P&amp;L'!D22</f>
        <v>0</v>
      </c>
      <c r="E49" s="208"/>
      <c r="F49" s="141">
        <v>14078537.92</v>
      </c>
    </row>
    <row r="50" spans="2:6" ht="33.75" x14ac:dyDescent="0.5">
      <c r="B50" s="49"/>
      <c r="C50" s="141"/>
      <c r="D50" s="221">
        <f>SUM(D46:D49)</f>
        <v>8590614</v>
      </c>
      <c r="E50" s="213"/>
      <c r="F50" s="215">
        <v>21065102.920000002</v>
      </c>
    </row>
    <row r="51" spans="2:6" x14ac:dyDescent="0.45">
      <c r="B51" s="49"/>
      <c r="C51" s="141"/>
      <c r="D51" s="39"/>
      <c r="E51" s="39"/>
      <c r="F51" s="39"/>
    </row>
    <row r="52" spans="2:6" ht="33.75" x14ac:dyDescent="0.5">
      <c r="B52" s="46" t="s">
        <v>202</v>
      </c>
      <c r="C52" s="134"/>
      <c r="D52" s="135"/>
      <c r="E52" s="39"/>
      <c r="F52" s="39"/>
    </row>
    <row r="53" spans="2:6" x14ac:dyDescent="0.45">
      <c r="B53" s="49" t="s">
        <v>203</v>
      </c>
      <c r="C53" s="141"/>
      <c r="D53" s="204">
        <f>+'Draft-P&amp;L'!D25</f>
        <v>24820915.699999999</v>
      </c>
      <c r="E53" s="39"/>
      <c r="F53" s="204">
        <v>20636699.5</v>
      </c>
    </row>
    <row r="54" spans="2:6" x14ac:dyDescent="0.45">
      <c r="B54" s="49" t="s">
        <v>204</v>
      </c>
      <c r="C54" s="141"/>
      <c r="D54" s="212">
        <f>+'Draft-P&amp;L'!D26</f>
        <v>1867549</v>
      </c>
      <c r="E54" s="39"/>
      <c r="F54" s="212">
        <v>1185390</v>
      </c>
    </row>
    <row r="55" spans="2:6" x14ac:dyDescent="0.45">
      <c r="B55" s="49" t="s">
        <v>205</v>
      </c>
      <c r="C55" s="141"/>
      <c r="D55" s="212">
        <f>+'Draft-P&amp;L'!D27</f>
        <v>110000</v>
      </c>
      <c r="E55" s="39"/>
      <c r="F55" s="212">
        <v>107500</v>
      </c>
    </row>
    <row r="56" spans="2:6" x14ac:dyDescent="0.45">
      <c r="B56" s="49" t="s">
        <v>206</v>
      </c>
      <c r="C56" s="141"/>
      <c r="D56" s="204">
        <f>+'Draft-P&amp;L'!D28</f>
        <v>55486486</v>
      </c>
      <c r="E56" s="39"/>
      <c r="F56" s="204">
        <v>39293623.5</v>
      </c>
    </row>
    <row r="57" spans="2:6" x14ac:dyDescent="0.45">
      <c r="B57" s="49" t="s">
        <v>207</v>
      </c>
      <c r="C57" s="141"/>
      <c r="D57" s="212">
        <f>+'Draft-P&amp;L'!D29</f>
        <v>7030541.8700000001</v>
      </c>
      <c r="E57" s="39"/>
      <c r="F57" s="212">
        <v>7071405.1200000001</v>
      </c>
    </row>
    <row r="58" spans="2:6" x14ac:dyDescent="0.45">
      <c r="B58" s="49" t="s">
        <v>208</v>
      </c>
      <c r="C58" s="141"/>
      <c r="D58" s="212">
        <f>+'Draft-P&amp;L'!D30</f>
        <v>796720</v>
      </c>
      <c r="E58" s="39"/>
      <c r="F58" s="212">
        <v>702809</v>
      </c>
    </row>
    <row r="59" spans="2:6" ht="33.75" x14ac:dyDescent="0.5">
      <c r="B59" s="49"/>
      <c r="C59" s="141"/>
      <c r="D59" s="215">
        <f>SUM(D53:D58)</f>
        <v>90112212.570000008</v>
      </c>
      <c r="E59" s="39"/>
      <c r="F59" s="215">
        <v>68997428.120000005</v>
      </c>
    </row>
    <row r="60" spans="2:6" x14ac:dyDescent="0.45">
      <c r="B60" s="49"/>
      <c r="C60" s="141"/>
      <c r="D60" s="39"/>
      <c r="E60" s="39"/>
      <c r="F60" s="39"/>
    </row>
    <row r="61" spans="2:6" ht="33.75" x14ac:dyDescent="0.5">
      <c r="B61" s="46" t="s">
        <v>209</v>
      </c>
      <c r="C61" s="134"/>
      <c r="D61" s="135"/>
      <c r="E61" s="39"/>
      <c r="F61" s="39"/>
    </row>
    <row r="62" spans="2:6" x14ac:dyDescent="0.45">
      <c r="B62" s="49" t="s">
        <v>210</v>
      </c>
      <c r="C62" s="141"/>
      <c r="D62" s="212">
        <f>+'Draft-P&amp;L'!D36</f>
        <v>416200</v>
      </c>
      <c r="E62" s="39"/>
      <c r="F62" s="39">
        <v>590820.9</v>
      </c>
    </row>
    <row r="63" spans="2:6" x14ac:dyDescent="0.45">
      <c r="B63" s="49" t="s">
        <v>211</v>
      </c>
      <c r="C63" s="141"/>
      <c r="D63" s="212">
        <f>+'Draft-P&amp;L'!D37</f>
        <v>2608323.58</v>
      </c>
      <c r="E63" s="39"/>
      <c r="F63" s="39">
        <v>3578863.57</v>
      </c>
    </row>
    <row r="64" spans="2:6" ht="34.5" thickBot="1" x14ac:dyDescent="0.55000000000000004">
      <c r="B64" s="49"/>
      <c r="C64" s="141"/>
      <c r="D64" s="217">
        <f>SUM(D62:D63)</f>
        <v>3024523.58</v>
      </c>
      <c r="E64" s="39"/>
      <c r="F64" s="217">
        <v>4169685.4699999997</v>
      </c>
    </row>
    <row r="65" spans="2:6" ht="33.75" thickTop="1" x14ac:dyDescent="0.45">
      <c r="B65" s="49"/>
      <c r="C65" s="141"/>
      <c r="D65" s="39"/>
      <c r="E65" s="39"/>
      <c r="F65" s="39"/>
    </row>
    <row r="66" spans="2:6" ht="33.75" x14ac:dyDescent="0.5">
      <c r="B66" s="46" t="s">
        <v>213</v>
      </c>
      <c r="C66" s="134"/>
      <c r="D66" s="135"/>
      <c r="E66" s="39"/>
      <c r="F66" s="39"/>
    </row>
    <row r="67" spans="2:6" x14ac:dyDescent="0.45">
      <c r="B67" s="49" t="s">
        <v>214</v>
      </c>
      <c r="C67" s="141"/>
      <c r="D67" s="212">
        <f>1087820+16350+66750</f>
        <v>1170920</v>
      </c>
      <c r="E67" s="39"/>
      <c r="F67" s="212">
        <v>1000000</v>
      </c>
    </row>
    <row r="68" spans="2:6" x14ac:dyDescent="0.45">
      <c r="B68" s="49" t="s">
        <v>215</v>
      </c>
      <c r="C68" s="141"/>
      <c r="D68" s="212">
        <f>+'Draft-P&amp;L'!D46-D67</f>
        <v>10450150</v>
      </c>
      <c r="E68" s="39"/>
      <c r="F68" s="212">
        <v>6506000</v>
      </c>
    </row>
    <row r="69" spans="2:6" s="263" customFormat="1" ht="33.75" x14ac:dyDescent="0.5">
      <c r="B69" s="264"/>
      <c r="C69" s="265"/>
      <c r="D69" s="216">
        <f>SUM(D67:D68)</f>
        <v>11621070</v>
      </c>
      <c r="E69" s="266"/>
      <c r="F69" s="216">
        <v>7506000</v>
      </c>
    </row>
    <row r="70" spans="2:6" s="263" customFormat="1" ht="33.75" x14ac:dyDescent="0.5">
      <c r="B70" s="50"/>
      <c r="C70" s="142"/>
      <c r="D70" s="267"/>
      <c r="E70" s="143"/>
      <c r="F70" s="267"/>
    </row>
    <row r="71" spans="2:6" s="263" customFormat="1" ht="33.75" x14ac:dyDescent="0.5">
      <c r="B71" s="50"/>
      <c r="C71" s="142"/>
      <c r="D71" s="267"/>
      <c r="E71" s="143"/>
      <c r="F71" s="267"/>
    </row>
    <row r="72" spans="2:6" s="263" customFormat="1" ht="33.75" x14ac:dyDescent="0.5">
      <c r="B72" s="50"/>
      <c r="C72" s="142"/>
      <c r="D72" s="267"/>
      <c r="E72" s="143"/>
      <c r="F72" s="267"/>
    </row>
    <row r="73" spans="2:6" s="263" customFormat="1" ht="33.75" x14ac:dyDescent="0.5">
      <c r="B73" s="50"/>
      <c r="C73" s="142"/>
      <c r="D73" s="267"/>
      <c r="E73" s="143"/>
      <c r="F73" s="267"/>
    </row>
    <row r="74" spans="2:6" s="263" customFormat="1" ht="33.75" x14ac:dyDescent="0.5">
      <c r="B74" s="50"/>
      <c r="C74" s="142"/>
      <c r="D74" s="267"/>
      <c r="E74" s="143"/>
      <c r="F74" s="267"/>
    </row>
    <row r="75" spans="2:6" ht="33.75" x14ac:dyDescent="0.5">
      <c r="B75" s="46" t="s">
        <v>216</v>
      </c>
      <c r="C75" s="134"/>
      <c r="D75" s="135"/>
      <c r="E75" s="39"/>
      <c r="F75" s="39"/>
    </row>
    <row r="76" spans="2:6" x14ac:dyDescent="0.45">
      <c r="B76" s="49" t="s">
        <v>217</v>
      </c>
      <c r="C76" s="141"/>
      <c r="D76" s="212">
        <f>+'Draft-P&amp;L'!D40</f>
        <v>977787.73</v>
      </c>
      <c r="E76" s="39"/>
      <c r="F76" s="212">
        <v>901541.24</v>
      </c>
    </row>
    <row r="77" spans="2:6" x14ac:dyDescent="0.45">
      <c r="B77" s="49" t="s">
        <v>218</v>
      </c>
      <c r="C77" s="141"/>
      <c r="D77" s="212">
        <f>+'Draft-P&amp;L'!D41</f>
        <v>160463.75</v>
      </c>
      <c r="E77" s="39"/>
      <c r="F77" s="212">
        <v>1348749.6300000001</v>
      </c>
    </row>
    <row r="78" spans="2:6" x14ac:dyDescent="0.45">
      <c r="B78" s="49" t="s">
        <v>219</v>
      </c>
      <c r="C78" s="141"/>
      <c r="D78" s="212">
        <f>+'Draft-P&amp;L'!D43+'Draft-P&amp;L'!D42</f>
        <v>6491406.29</v>
      </c>
      <c r="E78" s="39"/>
      <c r="F78" s="212">
        <v>3048559.82</v>
      </c>
    </row>
    <row r="79" spans="2:6" ht="34.5" thickBot="1" x14ac:dyDescent="0.55000000000000004">
      <c r="B79" s="49"/>
      <c r="C79" s="141"/>
      <c r="D79" s="217">
        <f>SUM(D76:D78)</f>
        <v>7629657.7699999996</v>
      </c>
      <c r="E79" s="39"/>
      <c r="F79" s="217">
        <v>5298850.6899999995</v>
      </c>
    </row>
    <row r="80" spans="2:6" ht="33.75" thickTop="1" x14ac:dyDescent="0.45">
      <c r="B80" s="49"/>
      <c r="C80" s="141"/>
      <c r="D80" s="39"/>
      <c r="E80" s="39"/>
      <c r="F80" s="39"/>
    </row>
    <row r="81" spans="2:15" ht="33.75" x14ac:dyDescent="0.5">
      <c r="B81" s="46" t="s">
        <v>220</v>
      </c>
      <c r="C81" s="134"/>
      <c r="D81" s="135"/>
      <c r="E81" s="39"/>
      <c r="F81" s="39"/>
    </row>
    <row r="82" spans="2:15" x14ac:dyDescent="0.45">
      <c r="B82" s="49" t="s">
        <v>221</v>
      </c>
      <c r="C82" s="141"/>
      <c r="D82" s="39">
        <f>+'Draft-P&amp;L'!D49-0.52</f>
        <v>4366920</v>
      </c>
      <c r="E82" s="39"/>
      <c r="F82" s="212">
        <v>92625866.180000007</v>
      </c>
    </row>
    <row r="83" spans="2:15" x14ac:dyDescent="0.45">
      <c r="B83" s="49" t="s">
        <v>222</v>
      </c>
      <c r="C83" s="141"/>
      <c r="D83" s="39">
        <f>+'Draft-P&amp;L'!D50</f>
        <v>9313494</v>
      </c>
      <c r="E83" s="39"/>
      <c r="F83" s="212">
        <v>9420747.9100000001</v>
      </c>
    </row>
    <row r="84" spans="2:15" ht="34.5" thickBot="1" x14ac:dyDescent="0.55000000000000004">
      <c r="B84" s="49"/>
      <c r="C84" s="141"/>
      <c r="D84" s="210">
        <f>SUM(D82:D83)</f>
        <v>13680414</v>
      </c>
      <c r="E84" s="39"/>
      <c r="F84" s="210">
        <v>102046614.09</v>
      </c>
    </row>
    <row r="85" spans="2:15" ht="33.75" thickTop="1" x14ac:dyDescent="0.45">
      <c r="B85" s="49"/>
      <c r="C85" s="141"/>
      <c r="D85" s="39"/>
      <c r="E85" s="39"/>
      <c r="F85" s="39"/>
    </row>
    <row r="86" spans="2:15" ht="33.75" x14ac:dyDescent="0.5">
      <c r="B86" s="46" t="s">
        <v>223</v>
      </c>
      <c r="C86" s="134"/>
      <c r="D86" s="135"/>
      <c r="E86" s="39"/>
      <c r="F86" s="39"/>
    </row>
    <row r="87" spans="2:15" ht="33.75" x14ac:dyDescent="0.5">
      <c r="B87" s="71" t="s">
        <v>509</v>
      </c>
      <c r="C87" s="134"/>
      <c r="D87" s="204">
        <f>+'Draft-P&amp;L'!D53</f>
        <v>10000000</v>
      </c>
      <c r="E87" s="39"/>
      <c r="F87" s="204">
        <v>10000000</v>
      </c>
    </row>
    <row r="88" spans="2:15" ht="33.75" x14ac:dyDescent="0.5">
      <c r="B88" s="71" t="s">
        <v>252</v>
      </c>
      <c r="C88" s="134"/>
      <c r="D88" s="204">
        <f>+'Draft-P&amp;L'!D54-0.5</f>
        <v>100205101</v>
      </c>
      <c r="E88" s="39"/>
      <c r="F88" s="204">
        <v>94687102.890000001</v>
      </c>
    </row>
    <row r="89" spans="2:15" ht="33.75" x14ac:dyDescent="0.5">
      <c r="B89" s="71" t="s">
        <v>253</v>
      </c>
      <c r="C89" s="134"/>
      <c r="D89" s="212">
        <f>+'Draft-P&amp;L'!D57</f>
        <v>4609613.92</v>
      </c>
      <c r="E89" s="39"/>
      <c r="F89" s="212">
        <v>3967286.02</v>
      </c>
    </row>
    <row r="90" spans="2:15" x14ac:dyDescent="0.45">
      <c r="B90" s="49" t="s">
        <v>224</v>
      </c>
      <c r="C90" s="141"/>
      <c r="D90" s="212">
        <f>+'Draft-P&amp;L'!D58</f>
        <v>598444.63</v>
      </c>
      <c r="E90" s="39"/>
      <c r="F90" s="212">
        <v>411579.48</v>
      </c>
      <c r="O90" s="56"/>
    </row>
    <row r="91" spans="2:15" x14ac:dyDescent="0.45">
      <c r="B91" s="49" t="s">
        <v>225</v>
      </c>
      <c r="C91" s="141"/>
      <c r="D91" s="212">
        <f>+'Draft-P&amp;L'!D59</f>
        <v>8076178.6900000004</v>
      </c>
      <c r="E91" s="39"/>
      <c r="F91" s="212">
        <v>7765888.1100000003</v>
      </c>
      <c r="O91" s="44"/>
    </row>
    <row r="92" spans="2:15" x14ac:dyDescent="0.45">
      <c r="B92" s="49" t="s">
        <v>226</v>
      </c>
      <c r="C92" s="141"/>
      <c r="D92" s="204">
        <f>+'Draft-P&amp;L'!D60-0.61</f>
        <v>20564961.000000004</v>
      </c>
      <c r="E92" s="39"/>
      <c r="F92" s="212">
        <v>20224796.02</v>
      </c>
      <c r="O92" s="44"/>
    </row>
    <row r="93" spans="2:15" x14ac:dyDescent="0.45">
      <c r="B93" s="49" t="s">
        <v>227</v>
      </c>
      <c r="C93" s="141"/>
      <c r="D93" s="212">
        <f>+'Draft-P&amp;L'!D62</f>
        <v>1249120</v>
      </c>
      <c r="E93" s="39"/>
      <c r="F93" s="212">
        <v>1287572</v>
      </c>
      <c r="O93" s="44"/>
    </row>
    <row r="94" spans="2:15" x14ac:dyDescent="0.45">
      <c r="B94" s="49" t="s">
        <v>228</v>
      </c>
      <c r="C94" s="141"/>
      <c r="D94" s="212">
        <f>+'Draft-P&amp;L'!D63</f>
        <v>4123039.6</v>
      </c>
      <c r="E94" s="39"/>
      <c r="F94" s="212">
        <v>3963083.48</v>
      </c>
      <c r="O94" s="44"/>
    </row>
    <row r="95" spans="2:15" x14ac:dyDescent="0.45">
      <c r="B95" s="49" t="s">
        <v>229</v>
      </c>
      <c r="C95" s="141"/>
      <c r="D95" s="212">
        <f>+'Draft-P&amp;L'!D56</f>
        <v>4327192</v>
      </c>
      <c r="E95" s="39"/>
      <c r="F95" s="212">
        <v>6712674.04</v>
      </c>
      <c r="O95" s="44"/>
    </row>
    <row r="96" spans="2:15" x14ac:dyDescent="0.45">
      <c r="B96" s="49" t="s">
        <v>230</v>
      </c>
      <c r="C96" s="141"/>
      <c r="D96" s="212">
        <f>+'Draft-P&amp;L'!D64</f>
        <v>799096</v>
      </c>
      <c r="E96" s="39"/>
      <c r="F96" s="211">
        <v>0</v>
      </c>
      <c r="O96" s="44"/>
    </row>
    <row r="97" spans="2:15" x14ac:dyDescent="0.45">
      <c r="B97" s="49" t="s">
        <v>231</v>
      </c>
      <c r="C97" s="141"/>
      <c r="D97" s="218">
        <f>+'Draft-P&amp;L'!D65</f>
        <v>98250</v>
      </c>
      <c r="E97" s="39"/>
      <c r="F97" s="218">
        <v>87460</v>
      </c>
      <c r="O97" s="44"/>
    </row>
    <row r="98" spans="2:15" x14ac:dyDescent="0.45">
      <c r="B98" s="49" t="s">
        <v>232</v>
      </c>
      <c r="C98" s="141"/>
      <c r="D98" s="212">
        <f>+'Draft-P&amp;L'!D66</f>
        <v>1687373.86</v>
      </c>
      <c r="E98" s="39"/>
      <c r="F98" s="212">
        <v>615000</v>
      </c>
      <c r="O98" s="44"/>
    </row>
    <row r="99" spans="2:15" x14ac:dyDescent="0.45">
      <c r="B99" s="49" t="s">
        <v>238</v>
      </c>
      <c r="C99" s="141"/>
      <c r="D99" s="218">
        <f>+'Draft-P&amp;L'!D67</f>
        <v>76250</v>
      </c>
      <c r="E99" s="39"/>
      <c r="F99" s="218">
        <v>74750</v>
      </c>
      <c r="O99" s="44"/>
    </row>
    <row r="100" spans="2:15" x14ac:dyDescent="0.45">
      <c r="B100" s="49" t="s">
        <v>233</v>
      </c>
      <c r="C100" s="141"/>
      <c r="D100" s="204">
        <f>+'Draft-P&amp;L'!D68</f>
        <v>32767466.469999999</v>
      </c>
      <c r="E100" s="39"/>
      <c r="F100" s="204">
        <v>66595711.530000001</v>
      </c>
      <c r="O100" s="44"/>
    </row>
    <row r="101" spans="2:15" x14ac:dyDescent="0.45">
      <c r="B101" s="49" t="s">
        <v>234</v>
      </c>
      <c r="C101" s="141"/>
      <c r="D101" s="212">
        <f>+'Draft-P&amp;L'!D69</f>
        <v>6394616.1099999994</v>
      </c>
      <c r="E101" s="39"/>
      <c r="F101" s="212">
        <v>6251560.0800000001</v>
      </c>
      <c r="O101" s="44"/>
    </row>
    <row r="102" spans="2:15" x14ac:dyDescent="0.45">
      <c r="B102" s="49" t="s">
        <v>239</v>
      </c>
      <c r="C102" s="141"/>
      <c r="D102" s="204">
        <f>+'Draft-P&amp;L'!D73</f>
        <v>58000000</v>
      </c>
      <c r="E102" s="39"/>
      <c r="F102" s="204">
        <v>48350003</v>
      </c>
      <c r="O102" s="44"/>
    </row>
    <row r="103" spans="2:15" x14ac:dyDescent="0.45">
      <c r="B103" s="49" t="s">
        <v>451</v>
      </c>
      <c r="C103" s="141"/>
      <c r="D103" s="211">
        <f>+'Draft-P&amp;L'!D61</f>
        <v>0</v>
      </c>
      <c r="E103" s="39"/>
      <c r="F103" s="212">
        <v>11550000</v>
      </c>
    </row>
    <row r="104" spans="2:15" ht="33.75" x14ac:dyDescent="0.5">
      <c r="B104" s="373"/>
      <c r="C104" s="374"/>
      <c r="D104" s="215">
        <f>+SUM(D87:D103)+1</f>
        <v>253576704.28000003</v>
      </c>
      <c r="E104" s="374"/>
      <c r="F104" s="215">
        <v>282544465.64999998</v>
      </c>
      <c r="G104" s="213"/>
    </row>
  </sheetData>
  <mergeCells count="2">
    <mergeCell ref="B2:F2"/>
    <mergeCell ref="B4:F4"/>
  </mergeCells>
  <pageMargins left="0.86614173228346458" right="0.27559055118110237" top="1.0236220472440944" bottom="0.11811023622047245" header="0.31496062992125984" footer="0.31496062992125984"/>
  <pageSetup paperSize="9" scale="30" orientation="portrait" r:id="rId1"/>
  <rowBreaks count="1" manualBreakCount="1">
    <brk id="69" min="1" max="5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8"/>
  <sheetViews>
    <sheetView workbookViewId="0">
      <selection activeCell="F48" sqref="F48"/>
    </sheetView>
  </sheetViews>
  <sheetFormatPr defaultRowHeight="12" x14ac:dyDescent="0.15"/>
  <cols>
    <col min="1" max="1" width="19.5" bestFit="1" customWidth="1"/>
  </cols>
  <sheetData>
    <row r="1" spans="1:1" x14ac:dyDescent="0.15">
      <c r="A1">
        <v>6300000</v>
      </c>
    </row>
    <row r="2" spans="1:1" x14ac:dyDescent="0.15">
      <c r="A2">
        <v>19500000</v>
      </c>
    </row>
    <row r="3" spans="1:1" x14ac:dyDescent="0.15">
      <c r="A3">
        <v>9750000</v>
      </c>
    </row>
    <row r="4" spans="1:1" x14ac:dyDescent="0.15">
      <c r="A4">
        <v>5955000</v>
      </c>
    </row>
    <row r="5" spans="1:1" x14ac:dyDescent="0.15">
      <c r="A5">
        <v>8050000</v>
      </c>
    </row>
    <row r="6" spans="1:1" x14ac:dyDescent="0.15">
      <c r="A6">
        <v>3085000</v>
      </c>
    </row>
    <row r="7" spans="1:1" x14ac:dyDescent="0.15">
      <c r="A7">
        <v>7712500</v>
      </c>
    </row>
    <row r="8" spans="1:1" x14ac:dyDescent="0.15">
      <c r="A8">
        <v>4627500</v>
      </c>
    </row>
    <row r="9" spans="1:1" x14ac:dyDescent="0.15">
      <c r="A9">
        <v>7712500</v>
      </c>
    </row>
    <row r="10" spans="1:1" x14ac:dyDescent="0.15">
      <c r="A10">
        <v>2625105</v>
      </c>
    </row>
    <row r="11" spans="1:1" x14ac:dyDescent="0.15">
      <c r="A11">
        <v>17075000</v>
      </c>
    </row>
    <row r="12" spans="1:1" x14ac:dyDescent="0.15">
      <c r="A12">
        <v>8650000</v>
      </c>
    </row>
    <row r="13" spans="1:1" x14ac:dyDescent="0.15">
      <c r="A13">
        <v>5820000</v>
      </c>
    </row>
    <row r="14" spans="1:1" x14ac:dyDescent="0.15">
      <c r="A14">
        <v>20250000</v>
      </c>
    </row>
    <row r="15" spans="1:1" x14ac:dyDescent="0.15">
      <c r="A15">
        <v>6180000</v>
      </c>
    </row>
    <row r="16" spans="1:1" x14ac:dyDescent="0.15">
      <c r="A16">
        <v>20200000</v>
      </c>
    </row>
    <row r="17" spans="1:1" x14ac:dyDescent="0.15">
      <c r="A17">
        <v>4440000</v>
      </c>
    </row>
    <row r="18" spans="1:1" x14ac:dyDescent="0.15">
      <c r="A18">
        <v>5180000</v>
      </c>
    </row>
    <row r="19" spans="1:1" x14ac:dyDescent="0.15">
      <c r="A19">
        <v>3700000</v>
      </c>
    </row>
    <row r="20" spans="1:1" x14ac:dyDescent="0.15">
      <c r="A20">
        <v>3700000</v>
      </c>
    </row>
    <row r="21" spans="1:1" x14ac:dyDescent="0.15">
      <c r="A21">
        <v>11100000</v>
      </c>
    </row>
    <row r="22" spans="1:1" x14ac:dyDescent="0.15">
      <c r="A22">
        <v>12420000</v>
      </c>
    </row>
    <row r="23" spans="1:1" x14ac:dyDescent="0.15">
      <c r="A23">
        <v>6300000</v>
      </c>
    </row>
    <row r="24" spans="1:1" x14ac:dyDescent="0.15">
      <c r="A24">
        <v>19500000</v>
      </c>
    </row>
    <row r="25" spans="1:1" x14ac:dyDescent="0.15">
      <c r="A25">
        <v>9750000</v>
      </c>
    </row>
    <row r="26" spans="1:1" x14ac:dyDescent="0.15">
      <c r="A26">
        <v>5955000</v>
      </c>
    </row>
    <row r="27" spans="1:1" x14ac:dyDescent="0.15">
      <c r="A27">
        <v>8050000</v>
      </c>
    </row>
    <row r="28" spans="1:1" x14ac:dyDescent="0.15">
      <c r="A28">
        <v>3085000</v>
      </c>
    </row>
    <row r="29" spans="1:1" x14ac:dyDescent="0.15">
      <c r="A29">
        <v>7712500</v>
      </c>
    </row>
    <row r="30" spans="1:1" x14ac:dyDescent="0.15">
      <c r="A30">
        <v>7712500</v>
      </c>
    </row>
    <row r="31" spans="1:1" x14ac:dyDescent="0.15">
      <c r="A31">
        <v>4627500</v>
      </c>
    </row>
    <row r="32" spans="1:1" x14ac:dyDescent="0.15">
      <c r="A32">
        <v>2625105</v>
      </c>
    </row>
    <row r="33" spans="1:1" x14ac:dyDescent="0.15">
      <c r="A33">
        <v>17075000</v>
      </c>
    </row>
    <row r="34" spans="1:1" x14ac:dyDescent="0.15">
      <c r="A34">
        <v>8650000</v>
      </c>
    </row>
    <row r="35" spans="1:1" x14ac:dyDescent="0.15">
      <c r="A35">
        <v>20250000</v>
      </c>
    </row>
    <row r="36" spans="1:1" x14ac:dyDescent="0.15">
      <c r="A36">
        <v>5820000</v>
      </c>
    </row>
    <row r="37" spans="1:1" x14ac:dyDescent="0.15">
      <c r="A37">
        <v>6180000</v>
      </c>
    </row>
    <row r="38" spans="1:1" x14ac:dyDescent="0.15">
      <c r="A38">
        <v>20200000</v>
      </c>
    </row>
    <row r="39" spans="1:1" x14ac:dyDescent="0.15">
      <c r="A39">
        <v>4440000</v>
      </c>
    </row>
    <row r="40" spans="1:1" x14ac:dyDescent="0.15">
      <c r="A40">
        <v>5180000</v>
      </c>
    </row>
    <row r="41" spans="1:1" x14ac:dyDescent="0.15">
      <c r="A41">
        <v>3700000</v>
      </c>
    </row>
    <row r="42" spans="1:1" x14ac:dyDescent="0.15">
      <c r="A42">
        <v>3700000</v>
      </c>
    </row>
    <row r="43" spans="1:1" x14ac:dyDescent="0.15">
      <c r="A43">
        <v>11100000</v>
      </c>
    </row>
    <row r="44" spans="1:1" x14ac:dyDescent="0.15">
      <c r="A44">
        <v>12420000</v>
      </c>
    </row>
    <row r="45" spans="1:1" x14ac:dyDescent="0.15">
      <c r="A45" s="261">
        <f>SUM(A1:A44)</f>
        <v>388065210</v>
      </c>
    </row>
    <row r="46" spans="1:1" x14ac:dyDescent="0.15">
      <c r="A46">
        <f>+A45/100000</f>
        <v>3880.6520999999998</v>
      </c>
    </row>
    <row r="47" spans="1:1" x14ac:dyDescent="0.15">
      <c r="A47">
        <v>3880.65</v>
      </c>
    </row>
    <row r="48" spans="1:1" x14ac:dyDescent="0.15">
      <c r="A48">
        <f>+A47-A46</f>
        <v>-2.0999999997002305E-3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3"/>
  <sheetViews>
    <sheetView showGridLines="0" zoomScale="130" zoomScaleNormal="130" workbookViewId="0">
      <pane ySplit="6" topLeftCell="A7" activePane="bottomLeft" state="frozen"/>
      <selection activeCell="C94" activeCellId="1" sqref="B1:I1048576 C94"/>
      <selection pane="bottomLeft" activeCell="D86" sqref="D86"/>
    </sheetView>
  </sheetViews>
  <sheetFormatPr defaultRowHeight="12" x14ac:dyDescent="0.15"/>
  <cols>
    <col min="1" max="1" width="4.25" style="74" customWidth="1"/>
    <col min="2" max="2" width="4.875" style="76" bestFit="1" customWidth="1"/>
    <col min="3" max="3" width="37.5" style="74" bestFit="1" customWidth="1"/>
    <col min="4" max="4" width="14" style="82" bestFit="1" customWidth="1"/>
    <col min="5" max="5" width="14.25" style="82" bestFit="1" customWidth="1"/>
    <col min="6" max="6" width="4.125" style="76" customWidth="1"/>
    <col min="7" max="7" width="37.5" style="74" customWidth="1"/>
    <col min="8" max="8" width="14" style="82" bestFit="1" customWidth="1"/>
    <col min="9" max="9" width="14.875" style="82" bestFit="1" customWidth="1"/>
    <col min="10" max="16384" width="9" style="74"/>
  </cols>
  <sheetData>
    <row r="1" spans="1:9" x14ac:dyDescent="0.15">
      <c r="B1" s="85"/>
      <c r="F1" s="85"/>
    </row>
    <row r="2" spans="1:9" ht="13.5" x14ac:dyDescent="0.15">
      <c r="A2" s="108"/>
      <c r="B2" s="354" t="s">
        <v>255</v>
      </c>
      <c r="C2" s="354"/>
      <c r="D2" s="354"/>
      <c r="E2" s="354"/>
      <c r="F2" s="354"/>
      <c r="G2" s="354"/>
      <c r="H2" s="354"/>
      <c r="I2" s="354"/>
    </row>
    <row r="3" spans="1:9" ht="12.95" customHeight="1" x14ac:dyDescent="0.15">
      <c r="A3" s="108"/>
      <c r="B3" s="354" t="s">
        <v>256</v>
      </c>
      <c r="C3" s="354"/>
      <c r="D3" s="354"/>
      <c r="E3" s="354"/>
      <c r="F3" s="354"/>
      <c r="G3" s="354"/>
      <c r="H3" s="354"/>
      <c r="I3" s="354"/>
    </row>
    <row r="4" spans="1:9" ht="12.95" customHeight="1" x14ac:dyDescent="0.15">
      <c r="A4" s="108"/>
      <c r="B4" s="354" t="s">
        <v>257</v>
      </c>
      <c r="C4" s="354"/>
      <c r="D4" s="354"/>
      <c r="E4" s="354"/>
      <c r="F4" s="354"/>
      <c r="G4" s="354"/>
      <c r="H4" s="354"/>
      <c r="I4" s="354"/>
    </row>
    <row r="5" spans="1:9" ht="13.5" x14ac:dyDescent="0.15">
      <c r="A5" s="108"/>
      <c r="B5" s="354" t="s">
        <v>533</v>
      </c>
      <c r="C5" s="354"/>
      <c r="D5" s="354"/>
      <c r="E5" s="354"/>
      <c r="F5" s="354"/>
      <c r="G5" s="354"/>
      <c r="H5" s="354"/>
      <c r="I5" s="354"/>
    </row>
    <row r="6" spans="1:9" ht="12.95" customHeight="1" x14ac:dyDescent="0.15">
      <c r="A6" s="108"/>
      <c r="B6" s="361" t="s">
        <v>258</v>
      </c>
      <c r="C6" s="361"/>
      <c r="D6" s="361"/>
      <c r="E6" s="361"/>
      <c r="F6" s="361"/>
      <c r="G6" s="361"/>
      <c r="H6" s="361"/>
      <c r="I6" s="361"/>
    </row>
    <row r="7" spans="1:9" s="76" customFormat="1" ht="12.95" customHeight="1" x14ac:dyDescent="0.15">
      <c r="A7" s="109"/>
      <c r="B7" s="110" t="s">
        <v>259</v>
      </c>
      <c r="C7" s="110" t="s">
        <v>260</v>
      </c>
      <c r="D7" s="111" t="s">
        <v>261</v>
      </c>
      <c r="E7" s="111" t="s">
        <v>261</v>
      </c>
      <c r="F7" s="110" t="s">
        <v>259</v>
      </c>
      <c r="G7" s="110" t="s">
        <v>262</v>
      </c>
      <c r="H7" s="111" t="s">
        <v>261</v>
      </c>
      <c r="I7" s="111" t="s">
        <v>261</v>
      </c>
    </row>
    <row r="8" spans="1:9" ht="15" customHeight="1" x14ac:dyDescent="0.15">
      <c r="A8" s="108"/>
      <c r="B8" s="112">
        <v>1</v>
      </c>
      <c r="C8" s="113" t="s">
        <v>263</v>
      </c>
      <c r="D8" s="114" t="s">
        <v>2</v>
      </c>
      <c r="E8" s="114"/>
      <c r="F8" s="115">
        <v>1</v>
      </c>
      <c r="G8" s="113" t="s">
        <v>47</v>
      </c>
      <c r="H8" s="114" t="s">
        <v>2</v>
      </c>
      <c r="I8" s="114"/>
    </row>
    <row r="9" spans="1:9" ht="15" customHeight="1" x14ac:dyDescent="0.15">
      <c r="A9" s="108"/>
      <c r="B9" s="112"/>
      <c r="C9" s="116" t="s">
        <v>264</v>
      </c>
      <c r="D9" s="117">
        <v>5422548771.8500004</v>
      </c>
      <c r="E9" s="114"/>
      <c r="F9" s="115"/>
      <c r="G9" s="116" t="s">
        <v>265</v>
      </c>
      <c r="H9" s="117">
        <v>1909192828</v>
      </c>
      <c r="I9" s="114"/>
    </row>
    <row r="10" spans="1:9" ht="15" customHeight="1" x14ac:dyDescent="0.15">
      <c r="A10" s="108"/>
      <c r="B10" s="112"/>
      <c r="C10" s="116" t="s">
        <v>192</v>
      </c>
      <c r="D10" s="117">
        <v>3860259172.8000002</v>
      </c>
      <c r="E10" s="117">
        <f>SUM(D9:D10)</f>
        <v>9282807944.6500015</v>
      </c>
      <c r="F10" s="115"/>
      <c r="G10" s="116" t="s">
        <v>266</v>
      </c>
      <c r="H10" s="117">
        <v>596853901</v>
      </c>
      <c r="I10" s="114"/>
    </row>
    <row r="11" spans="1:9" ht="14.1" customHeight="1" x14ac:dyDescent="0.15">
      <c r="A11" s="108"/>
      <c r="B11" s="112"/>
      <c r="C11" s="116"/>
      <c r="D11" s="114"/>
      <c r="E11" s="114"/>
      <c r="F11" s="115"/>
      <c r="G11" s="116" t="s">
        <v>182</v>
      </c>
      <c r="H11" s="117">
        <v>9346813991.4799995</v>
      </c>
      <c r="I11" s="117">
        <f>SUM(H9:H11)</f>
        <v>11852860720.48</v>
      </c>
    </row>
    <row r="12" spans="1:9" ht="15" customHeight="1" x14ac:dyDescent="0.15">
      <c r="A12" s="108"/>
      <c r="B12" s="112">
        <v>2</v>
      </c>
      <c r="C12" s="113" t="s">
        <v>267</v>
      </c>
      <c r="D12" s="114" t="s">
        <v>2</v>
      </c>
      <c r="E12" s="114"/>
      <c r="F12" s="115"/>
      <c r="G12" s="116" t="s">
        <v>268</v>
      </c>
      <c r="H12" s="117">
        <v>176176</v>
      </c>
      <c r="I12" s="114"/>
    </row>
    <row r="13" spans="1:9" ht="15" customHeight="1" x14ac:dyDescent="0.15">
      <c r="A13" s="108"/>
      <c r="B13" s="112"/>
      <c r="C13" s="116" t="s">
        <v>194</v>
      </c>
      <c r="D13" s="117">
        <f>390734339+9360310</f>
        <v>400094649</v>
      </c>
      <c r="E13" s="114"/>
      <c r="F13" s="115"/>
      <c r="G13" s="116" t="s">
        <v>269</v>
      </c>
      <c r="H13" s="118">
        <v>0</v>
      </c>
      <c r="I13" s="114"/>
    </row>
    <row r="14" spans="1:9" ht="15" customHeight="1" x14ac:dyDescent="0.15">
      <c r="A14" s="108"/>
      <c r="B14" s="112"/>
      <c r="C14" s="116" t="s">
        <v>195</v>
      </c>
      <c r="D14" s="117">
        <v>4382240</v>
      </c>
      <c r="E14" s="114"/>
      <c r="F14" s="115"/>
      <c r="G14" s="116" t="s">
        <v>270</v>
      </c>
      <c r="H14" s="117"/>
      <c r="I14" s="114"/>
    </row>
    <row r="15" spans="1:9" ht="15" customHeight="1" x14ac:dyDescent="0.15">
      <c r="A15" s="108"/>
      <c r="B15" s="112"/>
      <c r="C15" s="116" t="s">
        <v>196</v>
      </c>
      <c r="D15" s="117">
        <v>40602982</v>
      </c>
      <c r="E15" s="117">
        <f>SUM(D13:D15)</f>
        <v>445079871</v>
      </c>
      <c r="F15" s="115"/>
      <c r="G15" s="116" t="s">
        <v>271</v>
      </c>
      <c r="H15" s="117">
        <v>0</v>
      </c>
      <c r="I15" s="114"/>
    </row>
    <row r="16" spans="1:9" ht="14.1" customHeight="1" x14ac:dyDescent="0.15">
      <c r="A16" s="108"/>
      <c r="B16" s="112"/>
      <c r="C16" s="116"/>
      <c r="D16" s="114"/>
      <c r="E16" s="114"/>
      <c r="F16" s="115"/>
      <c r="G16" s="116" t="s">
        <v>272</v>
      </c>
      <c r="H16" s="117">
        <v>0</v>
      </c>
      <c r="I16" s="117">
        <f>SUM(H12:H16)</f>
        <v>176176</v>
      </c>
    </row>
    <row r="17" spans="1:9" ht="14.1" customHeight="1" x14ac:dyDescent="0.15">
      <c r="A17" s="108"/>
      <c r="B17" s="112">
        <v>3</v>
      </c>
      <c r="C17" s="113" t="s">
        <v>273</v>
      </c>
      <c r="D17" s="114"/>
      <c r="E17" s="114"/>
      <c r="F17" s="115"/>
      <c r="G17" s="116"/>
      <c r="H17" s="114"/>
      <c r="I17" s="114"/>
    </row>
    <row r="18" spans="1:9" ht="15" customHeight="1" x14ac:dyDescent="0.15">
      <c r="A18" s="108"/>
      <c r="B18" s="112"/>
      <c r="C18" s="113" t="s">
        <v>274</v>
      </c>
      <c r="D18" s="114" t="s">
        <v>2</v>
      </c>
      <c r="E18" s="114"/>
      <c r="F18" s="115">
        <v>2</v>
      </c>
      <c r="G18" s="113" t="s">
        <v>275</v>
      </c>
      <c r="H18" s="114" t="s">
        <v>2</v>
      </c>
      <c r="I18" s="114"/>
    </row>
    <row r="19" spans="1:9" ht="15" customHeight="1" x14ac:dyDescent="0.15">
      <c r="A19" s="108"/>
      <c r="B19" s="112"/>
      <c r="C19" s="116" t="s">
        <v>198</v>
      </c>
      <c r="D19" s="117">
        <v>535000</v>
      </c>
      <c r="E19" s="114"/>
      <c r="F19" s="115"/>
      <c r="G19" s="116" t="s">
        <v>500</v>
      </c>
      <c r="H19" s="117">
        <f>21695702.87+2079055.19</f>
        <v>23774758.060000002</v>
      </c>
      <c r="I19" s="117">
        <f>+H19</f>
        <v>23774758.060000002</v>
      </c>
    </row>
    <row r="20" spans="1:9" ht="14.1" customHeight="1" x14ac:dyDescent="0.15">
      <c r="A20" s="108"/>
      <c r="B20" s="112"/>
      <c r="C20" s="116" t="s">
        <v>199</v>
      </c>
      <c r="D20" s="117">
        <v>274000</v>
      </c>
      <c r="E20" s="114"/>
      <c r="F20" s="115"/>
      <c r="G20" s="116"/>
      <c r="H20" s="114"/>
      <c r="I20" s="114"/>
    </row>
    <row r="21" spans="1:9" ht="15" customHeight="1" x14ac:dyDescent="0.15">
      <c r="A21" s="108"/>
      <c r="B21" s="112"/>
      <c r="C21" s="116" t="s">
        <v>200</v>
      </c>
      <c r="D21" s="117">
        <v>7781614</v>
      </c>
      <c r="E21" s="114"/>
      <c r="F21" s="115">
        <v>3</v>
      </c>
      <c r="G21" s="113" t="s">
        <v>254</v>
      </c>
      <c r="H21" s="114" t="s">
        <v>2</v>
      </c>
      <c r="I21" s="114"/>
    </row>
    <row r="22" spans="1:9" ht="15" customHeight="1" x14ac:dyDescent="0.15">
      <c r="A22" s="108"/>
      <c r="B22" s="112"/>
      <c r="C22" s="116" t="s">
        <v>201</v>
      </c>
      <c r="D22" s="114">
        <v>0</v>
      </c>
      <c r="E22" s="117">
        <f>SUM(D19:D22)</f>
        <v>8590614</v>
      </c>
      <c r="F22" s="115"/>
      <c r="G22" s="116" t="s">
        <v>276</v>
      </c>
      <c r="H22" s="243">
        <v>30105000</v>
      </c>
      <c r="I22" s="117">
        <f>+H22</f>
        <v>30105000</v>
      </c>
    </row>
    <row r="23" spans="1:9" ht="14.1" customHeight="1" x14ac:dyDescent="0.15">
      <c r="A23" s="108"/>
      <c r="B23" s="112"/>
      <c r="C23" s="116"/>
      <c r="D23" s="114"/>
      <c r="E23" s="114"/>
      <c r="F23" s="115"/>
      <c r="G23" s="116" t="s">
        <v>503</v>
      </c>
      <c r="H23" s="243">
        <f>33300+183500</f>
        <v>216800</v>
      </c>
      <c r="I23" s="114"/>
    </row>
    <row r="24" spans="1:9" ht="15" customHeight="1" x14ac:dyDescent="0.15">
      <c r="A24" s="108"/>
      <c r="B24" s="112">
        <v>4</v>
      </c>
      <c r="C24" s="113" t="s">
        <v>277</v>
      </c>
      <c r="D24" s="114" t="s">
        <v>2</v>
      </c>
      <c r="E24" s="114"/>
      <c r="F24" s="115"/>
      <c r="G24" s="116" t="s">
        <v>278</v>
      </c>
      <c r="H24" s="243">
        <v>128315</v>
      </c>
      <c r="I24" s="114"/>
    </row>
    <row r="25" spans="1:9" ht="15" customHeight="1" x14ac:dyDescent="0.15">
      <c r="A25" s="108"/>
      <c r="B25" s="112"/>
      <c r="C25" s="116" t="s">
        <v>203</v>
      </c>
      <c r="D25" s="117">
        <f>17069184+6275606.7+1476125</f>
        <v>24820915.699999999</v>
      </c>
      <c r="E25" s="114"/>
      <c r="F25" s="115"/>
      <c r="G25" s="116" t="s">
        <v>279</v>
      </c>
      <c r="H25" s="117">
        <v>4944360.29</v>
      </c>
      <c r="I25" s="114"/>
    </row>
    <row r="26" spans="1:9" ht="15" customHeight="1" x14ac:dyDescent="0.15">
      <c r="A26" s="108"/>
      <c r="B26" s="112"/>
      <c r="C26" s="116" t="s">
        <v>204</v>
      </c>
      <c r="D26" s="117">
        <v>1867549</v>
      </c>
      <c r="E26" s="114"/>
      <c r="F26" s="115"/>
      <c r="G26" s="116" t="s">
        <v>280</v>
      </c>
      <c r="H26" s="117">
        <v>6903702</v>
      </c>
      <c r="I26" s="114"/>
    </row>
    <row r="27" spans="1:9" ht="15" customHeight="1" x14ac:dyDescent="0.15">
      <c r="A27" s="108"/>
      <c r="B27" s="112"/>
      <c r="C27" s="116" t="s">
        <v>205</v>
      </c>
      <c r="D27" s="117">
        <v>110000</v>
      </c>
      <c r="E27" s="114"/>
      <c r="F27" s="115"/>
      <c r="G27" s="116" t="s">
        <v>281</v>
      </c>
      <c r="H27" s="117">
        <v>123156649.84</v>
      </c>
      <c r="I27" s="114"/>
    </row>
    <row r="28" spans="1:9" ht="15" customHeight="1" x14ac:dyDescent="0.15">
      <c r="A28" s="108"/>
      <c r="B28" s="112"/>
      <c r="C28" s="116" t="s">
        <v>206</v>
      </c>
      <c r="D28" s="117">
        <f>55486486</f>
        <v>55486486</v>
      </c>
      <c r="E28" s="114"/>
      <c r="F28" s="115"/>
      <c r="G28" s="116" t="s">
        <v>282</v>
      </c>
      <c r="H28" s="117">
        <v>2150144</v>
      </c>
      <c r="I28" s="114"/>
    </row>
    <row r="29" spans="1:9" ht="15" customHeight="1" x14ac:dyDescent="0.15">
      <c r="A29" s="108"/>
      <c r="B29" s="112"/>
      <c r="C29" s="116" t="s">
        <v>207</v>
      </c>
      <c r="D29" s="117">
        <f>6789254+164795.87+76492</f>
        <v>7030541.8700000001</v>
      </c>
      <c r="E29" s="114"/>
      <c r="F29" s="115"/>
      <c r="G29" s="116" t="s">
        <v>283</v>
      </c>
      <c r="H29" s="117">
        <v>236258.38</v>
      </c>
      <c r="I29" s="117"/>
    </row>
    <row r="30" spans="1:9" ht="14.1" customHeight="1" x14ac:dyDescent="0.15">
      <c r="A30" s="108"/>
      <c r="B30" s="112"/>
      <c r="C30" s="116" t="s">
        <v>208</v>
      </c>
      <c r="D30" s="117">
        <v>796720</v>
      </c>
      <c r="E30" s="117">
        <f>SUM(D25:D30)</f>
        <v>90112212.570000008</v>
      </c>
      <c r="F30" s="115"/>
      <c r="G30" s="116" t="s">
        <v>504</v>
      </c>
      <c r="H30" s="114">
        <v>425000</v>
      </c>
      <c r="I30" s="114"/>
    </row>
    <row r="31" spans="1:9" ht="12.95" customHeight="1" x14ac:dyDescent="0.15">
      <c r="B31" s="88"/>
      <c r="C31" s="79"/>
      <c r="D31" s="70"/>
      <c r="E31" s="70"/>
      <c r="F31" s="77"/>
      <c r="G31" s="79" t="s">
        <v>505</v>
      </c>
      <c r="H31" s="70">
        <v>2247152.5</v>
      </c>
      <c r="I31" s="117">
        <f>SUM(H23:H31)</f>
        <v>140408382.00999999</v>
      </c>
    </row>
    <row r="32" spans="1:9" ht="14.1" customHeight="1" x14ac:dyDescent="0.15">
      <c r="B32" s="88">
        <v>5</v>
      </c>
      <c r="C32" s="78" t="s">
        <v>30</v>
      </c>
      <c r="D32" s="70" t="s">
        <v>2</v>
      </c>
      <c r="E32" s="70"/>
      <c r="F32" s="77"/>
      <c r="H32" s="114"/>
      <c r="I32" s="70"/>
    </row>
    <row r="33" spans="2:9" ht="14.1" customHeight="1" x14ac:dyDescent="0.15">
      <c r="B33" s="88"/>
      <c r="C33" s="79" t="s">
        <v>284</v>
      </c>
      <c r="D33" s="80">
        <v>371751</v>
      </c>
      <c r="E33" s="80">
        <f>+D33</f>
        <v>371751</v>
      </c>
      <c r="F33" s="77"/>
      <c r="G33" s="79"/>
      <c r="H33" s="70"/>
      <c r="I33" s="70"/>
    </row>
    <row r="34" spans="2:9" ht="12.95" customHeight="1" x14ac:dyDescent="0.15">
      <c r="B34" s="88"/>
      <c r="C34" s="79"/>
      <c r="D34" s="70"/>
      <c r="E34" s="70"/>
      <c r="F34" s="77"/>
      <c r="G34" s="79"/>
      <c r="H34" s="70"/>
      <c r="I34" s="70"/>
    </row>
    <row r="35" spans="2:9" ht="14.1" customHeight="1" x14ac:dyDescent="0.15">
      <c r="B35" s="88">
        <v>6</v>
      </c>
      <c r="C35" s="78" t="s">
        <v>285</v>
      </c>
      <c r="D35" s="70" t="s">
        <v>2</v>
      </c>
      <c r="E35" s="70"/>
      <c r="F35" s="77"/>
      <c r="G35" s="116" t="s">
        <v>502</v>
      </c>
      <c r="H35" s="117">
        <v>46115450</v>
      </c>
      <c r="I35" s="70">
        <f>+H35</f>
        <v>46115450</v>
      </c>
    </row>
    <row r="36" spans="2:9" ht="14.1" customHeight="1" x14ac:dyDescent="0.15">
      <c r="B36" s="88"/>
      <c r="C36" s="79" t="s">
        <v>210</v>
      </c>
      <c r="D36" s="80">
        <f>310242+102771+3187</f>
        <v>416200</v>
      </c>
      <c r="E36" s="70"/>
      <c r="F36" s="77"/>
      <c r="G36" s="79"/>
      <c r="H36" s="70"/>
      <c r="I36" s="70"/>
    </row>
    <row r="37" spans="2:9" ht="14.1" customHeight="1" x14ac:dyDescent="0.15">
      <c r="B37" s="88"/>
      <c r="C37" s="79" t="s">
        <v>211</v>
      </c>
      <c r="D37" s="80">
        <v>2608323.58</v>
      </c>
      <c r="E37" s="80">
        <f>SUM(D36:D37)</f>
        <v>3024523.58</v>
      </c>
      <c r="F37" s="77"/>
      <c r="G37" s="79"/>
      <c r="H37" s="70"/>
      <c r="I37" s="70"/>
    </row>
    <row r="38" spans="2:9" ht="12.95" customHeight="1" x14ac:dyDescent="0.15">
      <c r="B38" s="88"/>
      <c r="C38" s="79"/>
      <c r="D38" s="70"/>
      <c r="E38" s="70"/>
      <c r="F38" s="77"/>
      <c r="G38" s="79"/>
      <c r="H38" s="70"/>
      <c r="I38" s="70"/>
    </row>
    <row r="39" spans="2:9" ht="14.1" customHeight="1" x14ac:dyDescent="0.15">
      <c r="B39" s="88">
        <v>7</v>
      </c>
      <c r="C39" s="78" t="s">
        <v>32</v>
      </c>
      <c r="D39" s="70" t="s">
        <v>2</v>
      </c>
      <c r="E39" s="70"/>
      <c r="F39" s="77"/>
      <c r="G39" s="79"/>
      <c r="H39" s="70"/>
      <c r="I39" s="70"/>
    </row>
    <row r="40" spans="2:9" ht="14.1" customHeight="1" x14ac:dyDescent="0.15">
      <c r="B40" s="88"/>
      <c r="C40" s="79" t="s">
        <v>217</v>
      </c>
      <c r="D40" s="80">
        <f>64551+913236.73</f>
        <v>977787.73</v>
      </c>
      <c r="E40" s="70"/>
      <c r="F40" s="77"/>
      <c r="G40" s="79"/>
      <c r="H40" s="70"/>
      <c r="I40" s="70"/>
    </row>
    <row r="41" spans="2:9" ht="14.1" customHeight="1" x14ac:dyDescent="0.15">
      <c r="B41" s="88"/>
      <c r="C41" s="79" t="s">
        <v>218</v>
      </c>
      <c r="D41" s="80">
        <f>143269+17194.75</f>
        <v>160463.75</v>
      </c>
      <c r="E41" s="70"/>
      <c r="F41" s="77"/>
      <c r="G41" s="79"/>
      <c r="H41" s="70"/>
      <c r="I41" s="70"/>
    </row>
    <row r="42" spans="2:9" ht="14.1" customHeight="1" x14ac:dyDescent="0.15">
      <c r="B42" s="88"/>
      <c r="C42" s="79" t="s">
        <v>219</v>
      </c>
      <c r="D42" s="80">
        <f>213629+2440.5</f>
        <v>216069.5</v>
      </c>
      <c r="E42" s="70"/>
      <c r="F42" s="77"/>
      <c r="G42" s="79"/>
      <c r="H42" s="70"/>
      <c r="I42" s="70"/>
    </row>
    <row r="43" spans="2:9" ht="14.1" customHeight="1" x14ac:dyDescent="0.15">
      <c r="B43" s="88"/>
      <c r="C43" s="79" t="s">
        <v>506</v>
      </c>
      <c r="D43" s="80">
        <f>3732388.29+2542948.5</f>
        <v>6275336.79</v>
      </c>
      <c r="E43" s="80">
        <f>SUM(D40:D43)</f>
        <v>7629657.7699999996</v>
      </c>
      <c r="F43" s="77"/>
      <c r="G43" s="79"/>
      <c r="H43" s="70"/>
      <c r="I43" s="70"/>
    </row>
    <row r="44" spans="2:9" ht="12.95" customHeight="1" x14ac:dyDescent="0.15">
      <c r="B44" s="88"/>
      <c r="C44" s="79"/>
      <c r="D44" s="70"/>
      <c r="E44" s="70"/>
      <c r="F44" s="77"/>
      <c r="G44" s="79"/>
      <c r="H44" s="70"/>
      <c r="I44" s="70"/>
    </row>
    <row r="45" spans="2:9" ht="14.1" customHeight="1" x14ac:dyDescent="0.15">
      <c r="B45" s="88">
        <v>8</v>
      </c>
      <c r="C45" s="78" t="s">
        <v>286</v>
      </c>
      <c r="D45" s="70" t="s">
        <v>2</v>
      </c>
      <c r="E45" s="70"/>
      <c r="F45" s="77"/>
      <c r="G45" s="79"/>
      <c r="H45" s="70"/>
      <c r="I45" s="70"/>
    </row>
    <row r="46" spans="2:9" ht="14.1" customHeight="1" x14ac:dyDescent="0.15">
      <c r="B46" s="88"/>
      <c r="C46" s="79" t="s">
        <v>287</v>
      </c>
      <c r="D46" s="244">
        <f>9722800+1831520+66750</f>
        <v>11621070</v>
      </c>
      <c r="E46" s="80">
        <f>+D46</f>
        <v>11621070</v>
      </c>
      <c r="F46" s="77"/>
      <c r="G46" s="79"/>
      <c r="H46" s="70"/>
      <c r="I46" s="70"/>
    </row>
    <row r="47" spans="2:9" ht="12.95" customHeight="1" x14ac:dyDescent="0.15">
      <c r="B47" s="88"/>
      <c r="C47" s="79"/>
      <c r="D47" s="70"/>
      <c r="E47" s="70"/>
      <c r="F47" s="77"/>
      <c r="G47" s="79"/>
      <c r="H47" s="70"/>
      <c r="I47" s="70"/>
    </row>
    <row r="48" spans="2:9" ht="14.1" customHeight="1" x14ac:dyDescent="0.15">
      <c r="B48" s="88">
        <v>9</v>
      </c>
      <c r="C48" s="78" t="s">
        <v>33</v>
      </c>
      <c r="D48" s="70" t="s">
        <v>2</v>
      </c>
      <c r="E48" s="70"/>
      <c r="F48" s="77"/>
      <c r="G48" s="79"/>
      <c r="H48" s="70"/>
      <c r="I48" s="70"/>
    </row>
    <row r="49" spans="2:9" ht="14.1" customHeight="1" x14ac:dyDescent="0.15">
      <c r="B49" s="88"/>
      <c r="C49" s="79" t="s">
        <v>221</v>
      </c>
      <c r="D49" s="80">
        <f>856453+3510467.52</f>
        <v>4366920.5199999996</v>
      </c>
      <c r="E49" s="70"/>
      <c r="F49" s="77"/>
      <c r="G49" s="79"/>
      <c r="H49" s="70"/>
      <c r="I49" s="70"/>
    </row>
    <row r="50" spans="2:9" ht="14.1" customHeight="1" x14ac:dyDescent="0.15">
      <c r="B50" s="88"/>
      <c r="C50" s="79" t="s">
        <v>222</v>
      </c>
      <c r="D50" s="80">
        <f>5259896+4053598</f>
        <v>9313494</v>
      </c>
      <c r="E50" s="80">
        <f>SUM(D49:D50)</f>
        <v>13680414.52</v>
      </c>
      <c r="F50" s="77"/>
      <c r="G50" s="79"/>
      <c r="H50" s="70"/>
      <c r="I50" s="70"/>
    </row>
    <row r="51" spans="2:9" ht="12.95" customHeight="1" x14ac:dyDescent="0.15">
      <c r="B51" s="88"/>
      <c r="C51" s="79"/>
      <c r="D51" s="70"/>
      <c r="E51" s="70"/>
      <c r="F51" s="77"/>
      <c r="G51" s="79"/>
      <c r="H51" s="70"/>
      <c r="I51" s="70"/>
    </row>
    <row r="52" spans="2:9" ht="14.1" customHeight="1" x14ac:dyDescent="0.15">
      <c r="B52" s="88">
        <v>10</v>
      </c>
      <c r="C52" s="78" t="s">
        <v>288</v>
      </c>
      <c r="D52" s="70" t="s">
        <v>2</v>
      </c>
      <c r="E52" s="70"/>
      <c r="F52" s="77"/>
      <c r="G52" s="79"/>
      <c r="H52" s="70"/>
      <c r="I52" s="70"/>
    </row>
    <row r="53" spans="2:9" ht="14.1" customHeight="1" x14ac:dyDescent="0.15">
      <c r="B53" s="88"/>
      <c r="C53" s="79" t="s">
        <v>507</v>
      </c>
      <c r="D53" s="80">
        <v>10000000</v>
      </c>
      <c r="E53" s="70"/>
      <c r="F53" s="77"/>
      <c r="G53" s="79"/>
      <c r="H53" s="70"/>
      <c r="I53" s="70"/>
    </row>
    <row r="54" spans="2:9" ht="14.1" customHeight="1" x14ac:dyDescent="0.15">
      <c r="B54" s="88"/>
      <c r="C54" s="79" t="s">
        <v>289</v>
      </c>
      <c r="D54" s="80">
        <v>100205101.5</v>
      </c>
      <c r="E54" s="70"/>
      <c r="F54" s="77"/>
      <c r="G54" s="79"/>
      <c r="H54" s="70"/>
      <c r="I54" s="70"/>
    </row>
    <row r="55" spans="2:9" ht="14.1" customHeight="1" x14ac:dyDescent="0.15">
      <c r="B55" s="88"/>
      <c r="C55" s="79" t="s">
        <v>290</v>
      </c>
      <c r="D55" s="80"/>
      <c r="E55" s="70"/>
      <c r="F55" s="77"/>
      <c r="G55" s="79"/>
      <c r="H55" s="70"/>
      <c r="I55" s="70"/>
    </row>
    <row r="56" spans="2:9" ht="14.1" customHeight="1" x14ac:dyDescent="0.15">
      <c r="B56" s="88"/>
      <c r="C56" s="79" t="s">
        <v>291</v>
      </c>
      <c r="D56" s="244">
        <f>2362159-66750+2031783</f>
        <v>4327192</v>
      </c>
      <c r="E56" s="70"/>
      <c r="F56" s="77"/>
      <c r="G56" s="79"/>
      <c r="H56" s="70"/>
      <c r="I56" s="70"/>
    </row>
    <row r="57" spans="2:9" ht="14.1" customHeight="1" x14ac:dyDescent="0.15">
      <c r="B57" s="88"/>
      <c r="C57" s="79" t="s">
        <v>292</v>
      </c>
      <c r="D57" s="80">
        <v>4609613.92</v>
      </c>
      <c r="E57" s="70"/>
      <c r="F57" s="77"/>
      <c r="G57" s="79"/>
      <c r="H57" s="70"/>
      <c r="I57" s="70"/>
    </row>
    <row r="58" spans="2:9" ht="14.1" customHeight="1" x14ac:dyDescent="0.15">
      <c r="B58" s="88"/>
      <c r="C58" s="79" t="s">
        <v>293</v>
      </c>
      <c r="D58" s="80">
        <v>598444.63</v>
      </c>
      <c r="E58" s="70"/>
      <c r="F58" s="77"/>
      <c r="G58" s="79"/>
      <c r="H58" s="70"/>
      <c r="I58" s="70"/>
    </row>
    <row r="59" spans="2:9" ht="14.1" customHeight="1" x14ac:dyDescent="0.15">
      <c r="B59" s="88"/>
      <c r="C59" s="79" t="s">
        <v>225</v>
      </c>
      <c r="D59" s="80">
        <f>7921752.69+154426</f>
        <v>8076178.6900000004</v>
      </c>
      <c r="E59" s="70"/>
      <c r="F59" s="77"/>
      <c r="G59" s="79"/>
      <c r="H59" s="70"/>
      <c r="I59" s="70"/>
    </row>
    <row r="60" spans="2:9" ht="14.1" customHeight="1" x14ac:dyDescent="0.15">
      <c r="B60" s="88"/>
      <c r="C60" s="79" t="s">
        <v>226</v>
      </c>
      <c r="D60" s="80">
        <f>14795223.35+1805628.5+768319+29559.26+27876.5+97400+856416+2100000+84539</f>
        <v>20564961.610000003</v>
      </c>
      <c r="E60" s="70"/>
      <c r="F60" s="77"/>
      <c r="G60" s="79"/>
      <c r="H60" s="70"/>
      <c r="I60" s="70"/>
    </row>
    <row r="61" spans="2:9" ht="14.1" customHeight="1" x14ac:dyDescent="0.15">
      <c r="B61" s="88"/>
      <c r="C61" s="79" t="s">
        <v>294</v>
      </c>
      <c r="D61" s="80"/>
      <c r="E61" s="70"/>
      <c r="F61" s="77"/>
      <c r="G61" s="79"/>
      <c r="H61" s="70"/>
      <c r="I61" s="70"/>
    </row>
    <row r="62" spans="2:9" ht="14.1" customHeight="1" x14ac:dyDescent="0.15">
      <c r="B62" s="88"/>
      <c r="C62" s="79" t="s">
        <v>227</v>
      </c>
      <c r="D62" s="80">
        <v>1249120</v>
      </c>
      <c r="E62" s="70"/>
      <c r="F62" s="77"/>
      <c r="G62" s="79"/>
      <c r="H62" s="70"/>
      <c r="I62" s="70"/>
    </row>
    <row r="63" spans="2:9" ht="14.1" customHeight="1" x14ac:dyDescent="0.15">
      <c r="B63" s="88"/>
      <c r="C63" s="79" t="s">
        <v>228</v>
      </c>
      <c r="D63" s="80">
        <f>172484+1286551+2664004.6</f>
        <v>4123039.6</v>
      </c>
      <c r="E63" s="70"/>
      <c r="F63" s="77"/>
      <c r="G63" s="79"/>
      <c r="H63" s="70"/>
      <c r="I63" s="70"/>
    </row>
    <row r="64" spans="2:9" ht="14.1" customHeight="1" x14ac:dyDescent="0.15">
      <c r="B64" s="88"/>
      <c r="C64" s="79" t="s">
        <v>230</v>
      </c>
      <c r="D64" s="70">
        <v>799096</v>
      </c>
      <c r="E64" s="70"/>
      <c r="F64" s="77"/>
      <c r="G64" s="79"/>
      <c r="H64" s="70"/>
      <c r="I64" s="70"/>
    </row>
    <row r="65" spans="2:9" ht="14.1" customHeight="1" x14ac:dyDescent="0.15">
      <c r="B65" s="88"/>
      <c r="C65" s="79" t="s">
        <v>231</v>
      </c>
      <c r="D65" s="80">
        <v>98250</v>
      </c>
      <c r="E65" s="70"/>
      <c r="F65" s="77"/>
      <c r="G65" s="79"/>
      <c r="H65" s="70"/>
      <c r="I65" s="70"/>
    </row>
    <row r="66" spans="2:9" ht="14.1" customHeight="1" x14ac:dyDescent="0.15">
      <c r="B66" s="88"/>
      <c r="C66" s="79" t="s">
        <v>232</v>
      </c>
      <c r="D66" s="80">
        <v>1687373.86</v>
      </c>
      <c r="E66" s="70"/>
      <c r="F66" s="77"/>
      <c r="G66" s="79"/>
      <c r="H66" s="70"/>
      <c r="I66" s="70"/>
    </row>
    <row r="67" spans="2:9" ht="14.1" customHeight="1" x14ac:dyDescent="0.15">
      <c r="B67" s="88"/>
      <c r="C67" s="79" t="s">
        <v>238</v>
      </c>
      <c r="D67" s="80">
        <v>76250</v>
      </c>
      <c r="E67" s="70"/>
      <c r="F67" s="77"/>
      <c r="G67" s="79"/>
      <c r="H67" s="70"/>
      <c r="I67" s="70"/>
    </row>
    <row r="68" spans="2:9" ht="14.1" customHeight="1" x14ac:dyDescent="0.15">
      <c r="B68" s="88"/>
      <c r="C68" s="79" t="s">
        <v>233</v>
      </c>
      <c r="D68" s="80">
        <v>32767466.469999999</v>
      </c>
      <c r="E68" s="70"/>
      <c r="F68" s="77"/>
      <c r="G68" s="79"/>
      <c r="H68" s="70"/>
      <c r="I68" s="70"/>
    </row>
    <row r="69" spans="2:9" ht="14.1" customHeight="1" x14ac:dyDescent="0.15">
      <c r="B69" s="88"/>
      <c r="C69" s="79" t="s">
        <v>234</v>
      </c>
      <c r="D69" s="80">
        <f>4231261+2163355.11</f>
        <v>6394616.1099999994</v>
      </c>
      <c r="E69" s="70"/>
      <c r="F69" s="77"/>
      <c r="G69" s="79"/>
      <c r="H69" s="70"/>
      <c r="I69" s="70"/>
    </row>
    <row r="70" spans="2:9" ht="14.1" customHeight="1" x14ac:dyDescent="0.15">
      <c r="B70" s="88"/>
      <c r="C70" s="79" t="s">
        <v>295</v>
      </c>
      <c r="D70" s="80"/>
      <c r="E70" s="70"/>
      <c r="F70" s="77"/>
      <c r="G70" s="79"/>
      <c r="H70" s="70"/>
      <c r="I70" s="70"/>
    </row>
    <row r="71" spans="2:9" ht="14.1" customHeight="1" x14ac:dyDescent="0.15">
      <c r="B71" s="88"/>
      <c r="C71" s="79" t="s">
        <v>235</v>
      </c>
      <c r="D71" s="80">
        <v>18508174</v>
      </c>
      <c r="E71" s="70"/>
      <c r="F71" s="77"/>
      <c r="G71" s="79"/>
      <c r="H71" s="70"/>
      <c r="I71" s="70"/>
    </row>
    <row r="72" spans="2:9" ht="14.1" customHeight="1" x14ac:dyDescent="0.15">
      <c r="B72" s="88"/>
      <c r="C72" s="79" t="s">
        <v>236</v>
      </c>
      <c r="D72" s="80">
        <v>9954282</v>
      </c>
      <c r="E72" s="70"/>
      <c r="F72" s="77"/>
      <c r="G72" s="79"/>
      <c r="H72" s="70"/>
      <c r="I72" s="70"/>
    </row>
    <row r="73" spans="2:9" ht="14.1" customHeight="1" x14ac:dyDescent="0.15">
      <c r="B73" s="88"/>
      <c r="C73" s="79" t="s">
        <v>296</v>
      </c>
      <c r="D73" s="70">
        <v>58000000</v>
      </c>
      <c r="E73" s="70"/>
      <c r="F73" s="77"/>
      <c r="G73" s="79"/>
      <c r="H73" s="70"/>
      <c r="I73" s="70"/>
    </row>
    <row r="74" spans="2:9" ht="14.1" customHeight="1" x14ac:dyDescent="0.15">
      <c r="B74" s="88"/>
      <c r="C74" s="79" t="s">
        <v>297</v>
      </c>
      <c r="D74" s="70"/>
      <c r="E74" s="70"/>
      <c r="F74" s="77"/>
      <c r="G74" s="79"/>
      <c r="H74" s="70"/>
      <c r="I74" s="70"/>
    </row>
    <row r="75" spans="2:9" ht="14.1" customHeight="1" x14ac:dyDescent="0.15">
      <c r="B75" s="88"/>
      <c r="C75" s="79" t="s">
        <v>298</v>
      </c>
      <c r="D75" s="89"/>
      <c r="E75" s="70"/>
      <c r="F75" s="77"/>
      <c r="G75" s="79"/>
      <c r="H75" s="70"/>
      <c r="I75" s="70"/>
    </row>
    <row r="76" spans="2:9" ht="14.1" customHeight="1" x14ac:dyDescent="0.15">
      <c r="B76" s="88"/>
      <c r="C76" s="79" t="s">
        <v>299</v>
      </c>
      <c r="D76" s="80"/>
      <c r="E76" s="70"/>
      <c r="F76" s="77"/>
      <c r="G76" s="79"/>
      <c r="H76" s="70"/>
      <c r="I76" s="70"/>
    </row>
    <row r="77" spans="2:9" ht="14.1" customHeight="1" x14ac:dyDescent="0.15">
      <c r="B77" s="88"/>
      <c r="C77" s="79" t="s">
        <v>300</v>
      </c>
      <c r="D77" s="80"/>
      <c r="E77" s="70"/>
      <c r="F77" s="77"/>
      <c r="G77" s="79"/>
      <c r="H77" s="70"/>
      <c r="I77" s="70"/>
    </row>
    <row r="78" spans="2:9" ht="14.1" customHeight="1" x14ac:dyDescent="0.15">
      <c r="B78" s="88"/>
      <c r="C78" s="79" t="s">
        <v>301</v>
      </c>
      <c r="D78" s="80">
        <v>9805086</v>
      </c>
      <c r="E78" s="70"/>
      <c r="F78" s="77"/>
      <c r="G78" s="79"/>
      <c r="H78" s="70"/>
      <c r="I78" s="70"/>
    </row>
    <row r="79" spans="2:9" ht="14.1" customHeight="1" x14ac:dyDescent="0.15">
      <c r="B79" s="88"/>
      <c r="C79" s="79" t="s">
        <v>237</v>
      </c>
      <c r="D79" s="70"/>
      <c r="E79" s="80">
        <f>SUM(D53:D79)</f>
        <v>291844246.38999999</v>
      </c>
      <c r="F79" s="77"/>
      <c r="G79" s="79"/>
      <c r="H79" s="70"/>
      <c r="I79" s="70"/>
    </row>
    <row r="80" spans="2:9" ht="12.95" customHeight="1" x14ac:dyDescent="0.15">
      <c r="B80" s="88"/>
      <c r="C80" s="79"/>
      <c r="D80" s="70"/>
      <c r="E80" s="70"/>
      <c r="F80" s="77"/>
      <c r="G80" s="79"/>
      <c r="H80" s="70"/>
      <c r="I80" s="70"/>
    </row>
    <row r="81" spans="2:9" ht="14.1" customHeight="1" x14ac:dyDescent="0.15">
      <c r="B81" s="88">
        <v>11</v>
      </c>
      <c r="C81" s="78" t="s">
        <v>35</v>
      </c>
      <c r="D81" s="70">
        <v>39682084.57</v>
      </c>
      <c r="E81" s="80">
        <f>+D81</f>
        <v>39682084.57</v>
      </c>
      <c r="F81" s="77"/>
      <c r="G81" s="79"/>
      <c r="H81" s="70"/>
      <c r="I81" s="70"/>
    </row>
    <row r="82" spans="2:9" ht="12.95" customHeight="1" x14ac:dyDescent="0.15">
      <c r="B82" s="88"/>
      <c r="C82" s="79"/>
      <c r="D82" s="70"/>
      <c r="E82" s="70"/>
      <c r="F82" s="77"/>
      <c r="G82" s="79"/>
      <c r="H82" s="70"/>
      <c r="I82" s="70"/>
    </row>
    <row r="83" spans="2:9" ht="14.1" customHeight="1" x14ac:dyDescent="0.15">
      <c r="B83" s="88">
        <v>12</v>
      </c>
      <c r="C83" s="78" t="s">
        <v>302</v>
      </c>
      <c r="D83" s="70" t="s">
        <v>2</v>
      </c>
      <c r="E83" s="70"/>
      <c r="F83" s="77"/>
      <c r="G83" s="79"/>
      <c r="H83" s="70"/>
      <c r="I83" s="70"/>
    </row>
    <row r="84" spans="2:9" ht="14.1" customHeight="1" x14ac:dyDescent="0.15">
      <c r="B84" s="88"/>
      <c r="C84" s="79" t="s">
        <v>508</v>
      </c>
      <c r="D84" s="80">
        <v>35778132.32</v>
      </c>
      <c r="E84" s="70"/>
      <c r="F84" s="77"/>
      <c r="G84" s="79"/>
      <c r="H84" s="70"/>
      <c r="I84" s="70"/>
    </row>
    <row r="85" spans="2:9" ht="14.1" customHeight="1" x14ac:dyDescent="0.15">
      <c r="B85" s="88"/>
      <c r="C85" s="79" t="s">
        <v>37</v>
      </c>
      <c r="D85" s="80">
        <v>85996096.5</v>
      </c>
      <c r="E85" s="70"/>
      <c r="F85" s="77"/>
      <c r="G85" s="79"/>
      <c r="H85" s="70"/>
      <c r="I85" s="70"/>
    </row>
    <row r="86" spans="2:9" ht="14.1" customHeight="1" x14ac:dyDescent="0.15">
      <c r="B86" s="88"/>
      <c r="C86" s="79" t="s">
        <v>303</v>
      </c>
      <c r="D86" s="260">
        <v>201432389</v>
      </c>
      <c r="E86" s="70"/>
      <c r="F86" s="77"/>
      <c r="G86" s="79"/>
      <c r="H86" s="70"/>
      <c r="I86" s="70"/>
    </row>
    <row r="87" spans="2:9" ht="14.1" customHeight="1" x14ac:dyDescent="0.15">
      <c r="B87" s="88"/>
      <c r="C87" s="79" t="s">
        <v>63</v>
      </c>
      <c r="D87" s="80">
        <v>116000000</v>
      </c>
      <c r="E87" s="70"/>
      <c r="F87" s="77"/>
      <c r="G87" s="79"/>
      <c r="H87" s="70"/>
      <c r="I87" s="70"/>
    </row>
    <row r="88" spans="2:9" ht="14.1" customHeight="1" x14ac:dyDescent="0.15">
      <c r="B88" s="88"/>
      <c r="C88" s="79" t="s">
        <v>38</v>
      </c>
      <c r="D88" s="80">
        <v>20000000</v>
      </c>
      <c r="E88" s="70"/>
      <c r="F88" s="77"/>
      <c r="G88" s="79"/>
      <c r="H88" s="70"/>
      <c r="I88" s="70"/>
    </row>
    <row r="89" spans="2:9" ht="14.1" customHeight="1" x14ac:dyDescent="0.15">
      <c r="B89" s="88"/>
      <c r="C89" s="79" t="s">
        <v>304</v>
      </c>
      <c r="D89" s="80">
        <v>786000000</v>
      </c>
      <c r="E89" s="70"/>
      <c r="F89" s="77"/>
      <c r="G89" s="79"/>
      <c r="H89" s="70"/>
      <c r="I89" s="70"/>
    </row>
    <row r="90" spans="2:9" s="166" customFormat="1" ht="14.1" customHeight="1" x14ac:dyDescent="0.15">
      <c r="B90" s="162"/>
      <c r="C90" s="163" t="s">
        <v>70</v>
      </c>
      <c r="D90" s="89">
        <v>20000000</v>
      </c>
      <c r="E90" s="164"/>
      <c r="F90" s="165"/>
      <c r="G90" s="163"/>
      <c r="H90" s="164"/>
      <c r="I90" s="164"/>
    </row>
    <row r="91" spans="2:9" s="166" customFormat="1" ht="14.1" customHeight="1" x14ac:dyDescent="0.15">
      <c r="B91" s="162"/>
      <c r="C91" s="163" t="s">
        <v>456</v>
      </c>
      <c r="D91" s="260">
        <v>73789478.680000007</v>
      </c>
      <c r="E91" s="164"/>
      <c r="F91" s="165"/>
      <c r="G91" s="163"/>
      <c r="H91" s="164"/>
      <c r="I91" s="164"/>
    </row>
    <row r="92" spans="2:9" s="166" customFormat="1" ht="14.1" customHeight="1" x14ac:dyDescent="0.15">
      <c r="B92" s="162"/>
      <c r="C92" s="163" t="s">
        <v>457</v>
      </c>
      <c r="D92" s="89">
        <v>50000000</v>
      </c>
      <c r="E92" s="164"/>
      <c r="F92" s="165"/>
      <c r="G92" s="163"/>
      <c r="H92" s="164"/>
      <c r="I92" s="164"/>
    </row>
    <row r="93" spans="2:9" s="166" customFormat="1" ht="14.1" customHeight="1" x14ac:dyDescent="0.15">
      <c r="B93" s="162"/>
      <c r="C93" s="163" t="s">
        <v>458</v>
      </c>
      <c r="D93" s="89">
        <v>10000000</v>
      </c>
      <c r="E93" s="89">
        <f>SUM(D84:D93)</f>
        <v>1398996096.5</v>
      </c>
      <c r="F93" s="165"/>
      <c r="G93" s="163"/>
      <c r="H93" s="164"/>
      <c r="I93" s="164"/>
    </row>
    <row r="94" spans="2:9" ht="12.95" customHeight="1" x14ac:dyDescent="0.15">
      <c r="B94" s="88"/>
      <c r="C94" s="79"/>
      <c r="D94" s="70"/>
      <c r="E94" s="70"/>
      <c r="F94" s="77"/>
      <c r="G94" s="79"/>
      <c r="H94" s="70"/>
      <c r="I94" s="70"/>
    </row>
    <row r="95" spans="2:9" ht="14.1" customHeight="1" x14ac:dyDescent="0.15">
      <c r="B95" s="88">
        <v>13</v>
      </c>
      <c r="C95" s="78" t="s">
        <v>305</v>
      </c>
      <c r="D95" s="70"/>
      <c r="E95" s="80">
        <f>E96-SUM(E8:E94)</f>
        <v>499999999.99999809</v>
      </c>
      <c r="F95" s="77"/>
      <c r="G95" s="79"/>
      <c r="H95" s="70"/>
      <c r="I95" s="70"/>
    </row>
    <row r="96" spans="2:9" ht="12.95" customHeight="1" x14ac:dyDescent="0.15">
      <c r="B96" s="75"/>
      <c r="C96" s="75" t="s">
        <v>3</v>
      </c>
      <c r="D96" s="81"/>
      <c r="E96" s="84">
        <f>+I96</f>
        <v>12093440486.549999</v>
      </c>
      <c r="F96" s="75"/>
      <c r="G96" s="75" t="s">
        <v>3</v>
      </c>
      <c r="H96" s="81"/>
      <c r="I96" s="84">
        <f>SUM(I8:I95)</f>
        <v>12093440486.549999</v>
      </c>
    </row>
    <row r="101" spans="5:7" x14ac:dyDescent="0.15">
      <c r="E101" s="82">
        <f>+E96-E93-E95</f>
        <v>10194444390.050001</v>
      </c>
      <c r="G101" s="74">
        <f>+E93</f>
        <v>1398996096.5</v>
      </c>
    </row>
    <row r="102" spans="5:7" x14ac:dyDescent="0.15">
      <c r="G102" s="74">
        <f>+G101/E101*100</f>
        <v>13.723122545701957</v>
      </c>
    </row>
    <row r="103" spans="5:7" x14ac:dyDescent="0.15">
      <c r="E103" s="82">
        <f>+E95-500000000</f>
        <v>-1.9073486328125E-6</v>
      </c>
    </row>
  </sheetData>
  <mergeCells count="5">
    <mergeCell ref="B2:I2"/>
    <mergeCell ref="B3:I3"/>
    <mergeCell ref="B4:I4"/>
    <mergeCell ref="B5:I5"/>
    <mergeCell ref="B6:I6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14"/>
  <sheetViews>
    <sheetView showGridLines="0" zoomScale="80" zoomScaleNormal="80" workbookViewId="0">
      <selection activeCell="N14" sqref="N14"/>
    </sheetView>
  </sheetViews>
  <sheetFormatPr defaultRowHeight="12.75" x14ac:dyDescent="0.2"/>
  <cols>
    <col min="1" max="1" width="9" style="122"/>
    <col min="2" max="2" width="7" style="122" customWidth="1"/>
    <col min="3" max="3" width="22.625" style="122" customWidth="1"/>
    <col min="4" max="4" width="12" style="122" customWidth="1"/>
    <col min="5" max="5" width="10.625" style="122" customWidth="1"/>
    <col min="6" max="6" width="18.5" style="122" customWidth="1"/>
    <col min="7" max="7" width="12" style="122" customWidth="1"/>
    <col min="8" max="8" width="9.375" style="122" customWidth="1"/>
    <col min="9" max="9" width="14.25" style="122" customWidth="1"/>
    <col min="10" max="10" width="12" style="122" customWidth="1"/>
    <col min="11" max="11" width="10.625" style="122" customWidth="1"/>
    <col min="12" max="12" width="18.5" style="122" customWidth="1"/>
    <col min="13" max="13" width="12" style="122" customWidth="1"/>
    <col min="14" max="14" width="13.875" style="122" customWidth="1"/>
    <col min="15" max="15" width="18.5" style="122" customWidth="1"/>
    <col min="16" max="17" width="10.875" style="122" bestFit="1" customWidth="1"/>
    <col min="18" max="18" width="15.875" style="122" bestFit="1" customWidth="1"/>
    <col min="19" max="16384" width="9" style="122"/>
  </cols>
  <sheetData>
    <row r="2" spans="2:15" ht="20.25" x14ac:dyDescent="0.3">
      <c r="B2" s="362" t="s">
        <v>438</v>
      </c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</row>
    <row r="3" spans="2:15" ht="18" x14ac:dyDescent="0.25">
      <c r="B3" s="363" t="s">
        <v>522</v>
      </c>
      <c r="C3" s="363"/>
      <c r="D3" s="363"/>
      <c r="E3" s="363"/>
      <c r="F3" s="363"/>
      <c r="G3" s="363"/>
      <c r="H3" s="363"/>
      <c r="I3" s="363"/>
      <c r="J3" s="363"/>
      <c r="K3" s="363"/>
      <c r="L3" s="363"/>
      <c r="M3" s="363"/>
      <c r="N3" s="363"/>
      <c r="O3" s="363"/>
    </row>
    <row r="5" spans="2:15" ht="18" x14ac:dyDescent="0.2">
      <c r="B5" s="123" t="s">
        <v>439</v>
      </c>
      <c r="C5" s="368" t="s">
        <v>440</v>
      </c>
      <c r="D5" s="364" t="s">
        <v>471</v>
      </c>
      <c r="E5" s="364"/>
      <c r="F5" s="364"/>
      <c r="G5" s="365" t="s">
        <v>441</v>
      </c>
      <c r="H5" s="366"/>
      <c r="I5" s="367"/>
      <c r="J5" s="364" t="s">
        <v>442</v>
      </c>
      <c r="K5" s="364"/>
      <c r="L5" s="364"/>
      <c r="M5" s="364" t="s">
        <v>524</v>
      </c>
      <c r="N5" s="364"/>
      <c r="O5" s="364"/>
    </row>
    <row r="6" spans="2:15" ht="18" x14ac:dyDescent="0.2">
      <c r="B6" s="124"/>
      <c r="C6" s="369"/>
      <c r="D6" s="125" t="s">
        <v>443</v>
      </c>
      <c r="E6" s="125" t="s">
        <v>444</v>
      </c>
      <c r="F6" s="125" t="s">
        <v>261</v>
      </c>
      <c r="G6" s="125" t="s">
        <v>443</v>
      </c>
      <c r="H6" s="125" t="s">
        <v>444</v>
      </c>
      <c r="I6" s="125" t="s">
        <v>261</v>
      </c>
      <c r="J6" s="125" t="s">
        <v>443</v>
      </c>
      <c r="K6" s="125" t="s">
        <v>444</v>
      </c>
      <c r="L6" s="125" t="s">
        <v>261</v>
      </c>
      <c r="M6" s="125" t="s">
        <v>443</v>
      </c>
      <c r="N6" s="125" t="s">
        <v>444</v>
      </c>
      <c r="O6" s="125" t="s">
        <v>261</v>
      </c>
    </row>
    <row r="7" spans="2:15" ht="18.75" x14ac:dyDescent="0.3">
      <c r="B7" s="126" t="s">
        <v>445</v>
      </c>
      <c r="C7" s="127" t="s">
        <v>446</v>
      </c>
      <c r="D7" s="129">
        <v>21</v>
      </c>
      <c r="E7" s="129">
        <v>3848</v>
      </c>
      <c r="F7" s="129">
        <v>3848300000</v>
      </c>
      <c r="G7" s="226">
        <v>0</v>
      </c>
      <c r="H7" s="168"/>
      <c r="I7" s="168"/>
      <c r="J7" s="168">
        <v>0</v>
      </c>
      <c r="K7" s="168">
        <v>45</v>
      </c>
      <c r="L7" s="168">
        <v>45000000</v>
      </c>
      <c r="M7" s="168">
        <f t="shared" ref="M7:M8" si="0">+D7+J7-G7</f>
        <v>21</v>
      </c>
      <c r="N7" s="168">
        <v>3893</v>
      </c>
      <c r="O7" s="168">
        <f>+F7+L7-I7</f>
        <v>3893300000</v>
      </c>
    </row>
    <row r="8" spans="2:15" ht="18.75" x14ac:dyDescent="0.3">
      <c r="B8" s="126" t="s">
        <v>447</v>
      </c>
      <c r="C8" s="127" t="s">
        <v>448</v>
      </c>
      <c r="D8" s="129">
        <v>0</v>
      </c>
      <c r="E8" s="129">
        <v>0</v>
      </c>
      <c r="F8" s="129">
        <v>0</v>
      </c>
      <c r="G8" s="168">
        <v>0</v>
      </c>
      <c r="H8" s="168"/>
      <c r="I8" s="168"/>
      <c r="J8" s="168">
        <v>0</v>
      </c>
      <c r="K8" s="168"/>
      <c r="L8" s="168"/>
      <c r="M8" s="168">
        <f t="shared" si="0"/>
        <v>0</v>
      </c>
      <c r="N8" s="168">
        <v>0</v>
      </c>
      <c r="O8" s="168">
        <v>0</v>
      </c>
    </row>
    <row r="9" spans="2:15" ht="18.75" x14ac:dyDescent="0.3">
      <c r="B9" s="126" t="s">
        <v>449</v>
      </c>
      <c r="C9" s="127" t="s">
        <v>450</v>
      </c>
      <c r="D9" s="129">
        <v>19</v>
      </c>
      <c r="E9" s="129">
        <v>33</v>
      </c>
      <c r="F9" s="129">
        <v>33410000</v>
      </c>
      <c r="G9" s="168">
        <v>0</v>
      </c>
      <c r="H9" s="168"/>
      <c r="I9" s="168"/>
      <c r="J9" s="168">
        <v>0</v>
      </c>
      <c r="K9" s="168">
        <v>1</v>
      </c>
      <c r="L9" s="168">
        <v>1250000</v>
      </c>
      <c r="M9" s="168">
        <f>+D9+J9-G9</f>
        <v>19</v>
      </c>
      <c r="N9" s="168">
        <f>+E9+K9-H9</f>
        <v>34</v>
      </c>
      <c r="O9" s="168">
        <f>+F9+L9-I9</f>
        <v>34660000</v>
      </c>
    </row>
    <row r="10" spans="2:15" ht="18.75" x14ac:dyDescent="0.3">
      <c r="B10" s="126" t="s">
        <v>523</v>
      </c>
      <c r="C10" s="127" t="s">
        <v>450</v>
      </c>
      <c r="D10" s="129">
        <v>113</v>
      </c>
      <c r="E10" s="129">
        <v>570</v>
      </c>
      <c r="F10" s="129">
        <v>569442300</v>
      </c>
      <c r="G10" s="168">
        <v>3</v>
      </c>
      <c r="H10" s="168">
        <v>1</v>
      </c>
      <c r="I10" s="168">
        <v>1360000</v>
      </c>
      <c r="J10" s="168">
        <v>8</v>
      </c>
      <c r="K10" s="168">
        <v>477</v>
      </c>
      <c r="L10" s="168">
        <v>477000000</v>
      </c>
      <c r="M10" s="168">
        <v>118</v>
      </c>
      <c r="N10" s="168">
        <v>1046</v>
      </c>
      <c r="O10" s="168">
        <f>+F10+L10-I10</f>
        <v>1045082300</v>
      </c>
    </row>
    <row r="11" spans="2:15" ht="18.75" x14ac:dyDescent="0.25">
      <c r="B11" s="127"/>
      <c r="C11" s="128" t="s">
        <v>3</v>
      </c>
      <c r="D11" s="130">
        <f>SUM(D7:D10)</f>
        <v>153</v>
      </c>
      <c r="E11" s="130">
        <f t="shared" ref="E11:F11" si="1">SUM(E7:E10)</f>
        <v>4451</v>
      </c>
      <c r="F11" s="130">
        <f t="shared" si="1"/>
        <v>4451152300</v>
      </c>
      <c r="G11" s="130">
        <f t="shared" ref="G11" si="2">SUM(G7:G10)</f>
        <v>3</v>
      </c>
      <c r="H11" s="130">
        <f t="shared" ref="H11" si="3">SUM(H7:H10)</f>
        <v>1</v>
      </c>
      <c r="I11" s="130">
        <f t="shared" ref="I11" si="4">SUM(I7:I10)</f>
        <v>1360000</v>
      </c>
      <c r="J11" s="130">
        <f t="shared" ref="J11" si="5">SUM(J7:J10)</f>
        <v>8</v>
      </c>
      <c r="K11" s="130">
        <f t="shared" ref="K11" si="6">SUM(K7:K10)</f>
        <v>523</v>
      </c>
      <c r="L11" s="130">
        <f t="shared" ref="L11" si="7">SUM(L7:L10)</f>
        <v>523250000</v>
      </c>
      <c r="M11" s="169">
        <f>SUM(M7:M10)</f>
        <v>158</v>
      </c>
      <c r="N11" s="169">
        <f>SUM(N7:N10)</f>
        <v>4973</v>
      </c>
      <c r="O11" s="169">
        <f>SUM(O7:O10)</f>
        <v>4973042300</v>
      </c>
    </row>
    <row r="14" spans="2:15" x14ac:dyDescent="0.2">
      <c r="N14" s="247"/>
    </row>
  </sheetData>
  <mergeCells count="7">
    <mergeCell ref="B2:O2"/>
    <mergeCell ref="B3:O3"/>
    <mergeCell ref="D5:F5"/>
    <mergeCell ref="G5:I5"/>
    <mergeCell ref="J5:L5"/>
    <mergeCell ref="M5:O5"/>
    <mergeCell ref="C5:C6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38"/>
  <sheetViews>
    <sheetView workbookViewId="0">
      <selection activeCell="G26" sqref="G26"/>
    </sheetView>
  </sheetViews>
  <sheetFormatPr defaultRowHeight="12" x14ac:dyDescent="0.15"/>
  <cols>
    <col min="1" max="1" width="9.875" bestFit="1" customWidth="1"/>
  </cols>
  <sheetData>
    <row r="1" spans="1:1" ht="12.75" thickBot="1" x14ac:dyDescent="0.2"/>
    <row r="2" spans="1:1" ht="13.5" thickBot="1" x14ac:dyDescent="0.2">
      <c r="A2" s="175">
        <v>170.94</v>
      </c>
    </row>
    <row r="3" spans="1:1" ht="13.5" thickBot="1" x14ac:dyDescent="0.2">
      <c r="A3" s="176">
        <v>138.77000000000001</v>
      </c>
    </row>
    <row r="4" spans="1:1" ht="13.5" thickBot="1" x14ac:dyDescent="0.2">
      <c r="A4" s="176">
        <v>43.29</v>
      </c>
    </row>
    <row r="5" spans="1:1" ht="13.5" thickBot="1" x14ac:dyDescent="0.2">
      <c r="A5" s="176">
        <v>34.81</v>
      </c>
    </row>
    <row r="6" spans="1:1" ht="13.5" thickBot="1" x14ac:dyDescent="0.2">
      <c r="A6" s="176">
        <v>69.650000000000006</v>
      </c>
    </row>
    <row r="7" spans="1:1" ht="13.5" thickBot="1" x14ac:dyDescent="0.2">
      <c r="A7" s="176">
        <v>197.03</v>
      </c>
    </row>
    <row r="8" spans="1:1" ht="13.5" thickBot="1" x14ac:dyDescent="0.2">
      <c r="A8" s="176">
        <v>30.24</v>
      </c>
    </row>
    <row r="9" spans="1:1" ht="13.5" thickBot="1" x14ac:dyDescent="0.2">
      <c r="A9" s="176">
        <v>65.98</v>
      </c>
    </row>
    <row r="10" spans="1:1" ht="13.5" thickBot="1" x14ac:dyDescent="0.2">
      <c r="A10" s="176">
        <v>38.6</v>
      </c>
    </row>
    <row r="11" spans="1:1" ht="13.5" thickBot="1" x14ac:dyDescent="0.2">
      <c r="A11" s="176">
        <v>37.43</v>
      </c>
    </row>
    <row r="12" spans="1:1" ht="13.5" thickBot="1" x14ac:dyDescent="0.2">
      <c r="A12" s="176">
        <v>48.78</v>
      </c>
    </row>
    <row r="13" spans="1:1" ht="13.5" thickBot="1" x14ac:dyDescent="0.2">
      <c r="A13" s="176">
        <v>69.94</v>
      </c>
    </row>
    <row r="14" spans="1:1" ht="13.5" thickBot="1" x14ac:dyDescent="0.2">
      <c r="A14" s="176">
        <v>46.42</v>
      </c>
    </row>
    <row r="15" spans="1:1" ht="13.5" thickBot="1" x14ac:dyDescent="0.2">
      <c r="A15" s="176">
        <v>41.42</v>
      </c>
    </row>
    <row r="16" spans="1:1" ht="13.5" thickBot="1" x14ac:dyDescent="0.2">
      <c r="A16" s="176">
        <v>45.53</v>
      </c>
    </row>
    <row r="17" spans="1:1" ht="13.5" thickBot="1" x14ac:dyDescent="0.2">
      <c r="A17" s="176">
        <v>72.510000000000005</v>
      </c>
    </row>
    <row r="18" spans="1:1" ht="13.5" thickBot="1" x14ac:dyDescent="0.2">
      <c r="A18" s="176">
        <v>240.84</v>
      </c>
    </row>
    <row r="19" spans="1:1" ht="13.5" thickBot="1" x14ac:dyDescent="0.2">
      <c r="A19" s="176">
        <v>36.25</v>
      </c>
    </row>
    <row r="20" spans="1:1" ht="12.75" thickBot="1" x14ac:dyDescent="0.2">
      <c r="A20" s="177">
        <v>127.44</v>
      </c>
    </row>
    <row r="21" spans="1:1" ht="13.5" thickBot="1" x14ac:dyDescent="0.2">
      <c r="A21" s="176">
        <v>87.25</v>
      </c>
    </row>
    <row r="22" spans="1:1" ht="13.5" thickBot="1" x14ac:dyDescent="0.2">
      <c r="A22" s="176">
        <v>80</v>
      </c>
    </row>
    <row r="23" spans="1:1" ht="13.5" thickBot="1" x14ac:dyDescent="0.2">
      <c r="A23" s="176">
        <v>61.29</v>
      </c>
    </row>
    <row r="24" spans="1:1" ht="13.5" thickBot="1" x14ac:dyDescent="0.2">
      <c r="A24" s="176">
        <v>50.78</v>
      </c>
    </row>
    <row r="25" spans="1:1" ht="13.5" thickBot="1" x14ac:dyDescent="0.2">
      <c r="A25" s="176">
        <v>38.49</v>
      </c>
    </row>
    <row r="26" spans="1:1" ht="13.5" thickBot="1" x14ac:dyDescent="0.2">
      <c r="A26" s="176">
        <v>73.81</v>
      </c>
    </row>
    <row r="27" spans="1:1" ht="13.5" thickBot="1" x14ac:dyDescent="0.2">
      <c r="A27" s="176">
        <v>95</v>
      </c>
    </row>
    <row r="28" spans="1:1" ht="13.5" thickBot="1" x14ac:dyDescent="0.2">
      <c r="A28" s="176">
        <v>58.48</v>
      </c>
    </row>
    <row r="29" spans="1:1" ht="13.5" thickBot="1" x14ac:dyDescent="0.2">
      <c r="A29" s="176">
        <v>46.98</v>
      </c>
    </row>
    <row r="30" spans="1:1" ht="13.5" thickBot="1" x14ac:dyDescent="0.2">
      <c r="A30" s="176">
        <v>50.07</v>
      </c>
    </row>
    <row r="31" spans="1:1" ht="13.5" thickBot="1" x14ac:dyDescent="0.2">
      <c r="A31" s="176">
        <v>49.63</v>
      </c>
    </row>
    <row r="32" spans="1:1" ht="13.5" thickBot="1" x14ac:dyDescent="0.2">
      <c r="A32" s="176">
        <v>58.59</v>
      </c>
    </row>
    <row r="33" spans="1:1" ht="13.5" thickBot="1" x14ac:dyDescent="0.2">
      <c r="A33" s="176">
        <v>37.53</v>
      </c>
    </row>
    <row r="34" spans="1:1" ht="13.5" thickBot="1" x14ac:dyDescent="0.2">
      <c r="A34" s="176">
        <v>34.93</v>
      </c>
    </row>
    <row r="35" spans="1:1" ht="13.5" thickBot="1" x14ac:dyDescent="0.2">
      <c r="A35" s="176">
        <v>96.66</v>
      </c>
    </row>
    <row r="36" spans="1:1" ht="13.5" thickBot="1" x14ac:dyDescent="0.2">
      <c r="A36" s="176">
        <v>48.76</v>
      </c>
    </row>
    <row r="37" spans="1:1" ht="13.5" thickBot="1" x14ac:dyDescent="0.2">
      <c r="A37" s="176">
        <v>45</v>
      </c>
    </row>
    <row r="38" spans="1:1" ht="13.5" thickBot="1" x14ac:dyDescent="0.2">
      <c r="A38" s="176">
        <v>35.07</v>
      </c>
    </row>
    <row r="39" spans="1:1" ht="13.5" thickBot="1" x14ac:dyDescent="0.2">
      <c r="A39" s="176">
        <v>46.48</v>
      </c>
    </row>
    <row r="40" spans="1:1" ht="13.5" thickBot="1" x14ac:dyDescent="0.2">
      <c r="A40" s="176">
        <v>41.09</v>
      </c>
    </row>
    <row r="41" spans="1:1" ht="13.5" thickBot="1" x14ac:dyDescent="0.2">
      <c r="A41" s="176">
        <v>49.24</v>
      </c>
    </row>
    <row r="42" spans="1:1" ht="13.5" thickBot="1" x14ac:dyDescent="0.2">
      <c r="A42" s="176">
        <v>54</v>
      </c>
    </row>
    <row r="43" spans="1:1" ht="13.5" thickBot="1" x14ac:dyDescent="0.2">
      <c r="A43" s="176">
        <v>43.65</v>
      </c>
    </row>
    <row r="44" spans="1:1" ht="13.5" thickBot="1" x14ac:dyDescent="0.2">
      <c r="A44" s="176">
        <v>82.72</v>
      </c>
    </row>
    <row r="45" spans="1:1" ht="13.5" thickBot="1" x14ac:dyDescent="0.2">
      <c r="A45" s="176">
        <v>63.56</v>
      </c>
    </row>
    <row r="46" spans="1:1" ht="13.5" thickBot="1" x14ac:dyDescent="0.2">
      <c r="A46" s="176">
        <v>47.21</v>
      </c>
    </row>
    <row r="47" spans="1:1" ht="13.5" thickBot="1" x14ac:dyDescent="0.2">
      <c r="A47" s="176">
        <v>88.31</v>
      </c>
    </row>
    <row r="48" spans="1:1" ht="13.5" thickBot="1" x14ac:dyDescent="0.2">
      <c r="A48" s="176">
        <v>97.28</v>
      </c>
    </row>
    <row r="49" spans="1:1" ht="13.5" thickBot="1" x14ac:dyDescent="0.2">
      <c r="A49" s="176">
        <v>71.260000000000005</v>
      </c>
    </row>
    <row r="50" spans="1:1" ht="13.5" thickBot="1" x14ac:dyDescent="0.2">
      <c r="A50" s="176">
        <v>74.87</v>
      </c>
    </row>
    <row r="51" spans="1:1" ht="13.5" thickBot="1" x14ac:dyDescent="0.2">
      <c r="A51" s="176">
        <v>56</v>
      </c>
    </row>
    <row r="52" spans="1:1" ht="13.5" thickBot="1" x14ac:dyDescent="0.2">
      <c r="A52" s="176">
        <v>99.82</v>
      </c>
    </row>
    <row r="53" spans="1:1" ht="13.5" thickBot="1" x14ac:dyDescent="0.2">
      <c r="A53" s="176">
        <v>68.61</v>
      </c>
    </row>
    <row r="54" spans="1:1" ht="13.5" thickBot="1" x14ac:dyDescent="0.2">
      <c r="A54" s="176">
        <v>93.5</v>
      </c>
    </row>
    <row r="55" spans="1:1" ht="13.5" thickBot="1" x14ac:dyDescent="0.2">
      <c r="A55" s="176">
        <v>81.42</v>
      </c>
    </row>
    <row r="56" spans="1:1" ht="13.5" thickBot="1" x14ac:dyDescent="0.2">
      <c r="A56" s="176">
        <v>90</v>
      </c>
    </row>
    <row r="57" spans="1:1" ht="13.5" thickBot="1" x14ac:dyDescent="0.2">
      <c r="A57" s="176">
        <v>44.97</v>
      </c>
    </row>
    <row r="58" spans="1:1" ht="13.5" thickBot="1" x14ac:dyDescent="0.2">
      <c r="A58" s="176">
        <v>93.64</v>
      </c>
    </row>
    <row r="59" spans="1:1" ht="13.5" thickBot="1" x14ac:dyDescent="0.2">
      <c r="A59" s="176">
        <v>74.55</v>
      </c>
    </row>
    <row r="60" spans="1:1" ht="13.5" thickBot="1" x14ac:dyDescent="0.2">
      <c r="A60" s="176">
        <v>95.85</v>
      </c>
    </row>
    <row r="61" spans="1:1" ht="13.5" thickBot="1" x14ac:dyDescent="0.2">
      <c r="A61" s="176">
        <v>117.25</v>
      </c>
    </row>
    <row r="62" spans="1:1" ht="13.5" thickBot="1" x14ac:dyDescent="0.2">
      <c r="A62" s="176">
        <v>63</v>
      </c>
    </row>
    <row r="63" spans="1:1" ht="13.5" thickBot="1" x14ac:dyDescent="0.2">
      <c r="A63" s="176">
        <v>32.68</v>
      </c>
    </row>
    <row r="64" spans="1:1" ht="13.5" thickBot="1" x14ac:dyDescent="0.2">
      <c r="A64" s="176">
        <v>54.55</v>
      </c>
    </row>
    <row r="65" spans="1:1" ht="13.5" thickBot="1" x14ac:dyDescent="0.2">
      <c r="A65" s="176">
        <v>65.84</v>
      </c>
    </row>
    <row r="66" spans="1:1" ht="13.5" thickBot="1" x14ac:dyDescent="0.2">
      <c r="A66" s="176">
        <v>49.73</v>
      </c>
    </row>
    <row r="67" spans="1:1" ht="13.5" thickBot="1" x14ac:dyDescent="0.2">
      <c r="A67" s="176">
        <v>71.77</v>
      </c>
    </row>
    <row r="68" spans="1:1" ht="13.5" thickBot="1" x14ac:dyDescent="0.2">
      <c r="A68" s="176">
        <v>40</v>
      </c>
    </row>
    <row r="69" spans="1:1" ht="13.5" thickBot="1" x14ac:dyDescent="0.2">
      <c r="A69" s="176">
        <v>46.99</v>
      </c>
    </row>
    <row r="70" spans="1:1" ht="13.5" thickBot="1" x14ac:dyDescent="0.2">
      <c r="A70" s="176">
        <v>40.799999999999997</v>
      </c>
    </row>
    <row r="71" spans="1:1" ht="13.5" thickBot="1" x14ac:dyDescent="0.2">
      <c r="A71" s="176">
        <v>99.1</v>
      </c>
    </row>
    <row r="72" spans="1:1" ht="13.5" thickBot="1" x14ac:dyDescent="0.2">
      <c r="A72" s="176">
        <v>50.19</v>
      </c>
    </row>
    <row r="73" spans="1:1" ht="13.5" thickBot="1" x14ac:dyDescent="0.2">
      <c r="A73" s="176">
        <v>55.74</v>
      </c>
    </row>
    <row r="74" spans="1:1" ht="13.5" thickBot="1" x14ac:dyDescent="0.2">
      <c r="A74" s="176">
        <v>146.99</v>
      </c>
    </row>
    <row r="75" spans="1:1" ht="13.5" thickBot="1" x14ac:dyDescent="0.2">
      <c r="A75" s="176">
        <v>81.040000000000006</v>
      </c>
    </row>
    <row r="76" spans="1:1" ht="13.5" thickBot="1" x14ac:dyDescent="0.2">
      <c r="A76" s="176">
        <v>45</v>
      </c>
    </row>
    <row r="77" spans="1:1" ht="13.5" thickBot="1" x14ac:dyDescent="0.2">
      <c r="A77" s="176">
        <v>50.05</v>
      </c>
    </row>
    <row r="78" spans="1:1" ht="13.5" thickBot="1" x14ac:dyDescent="0.2">
      <c r="A78" s="176">
        <v>55.12</v>
      </c>
    </row>
    <row r="79" spans="1:1" ht="13.5" thickBot="1" x14ac:dyDescent="0.2">
      <c r="A79" s="176">
        <v>48.88</v>
      </c>
    </row>
    <row r="80" spans="1:1" ht="13.5" thickBot="1" x14ac:dyDescent="0.2">
      <c r="A80" s="176">
        <v>66.55</v>
      </c>
    </row>
    <row r="81" spans="1:1" ht="13.5" thickBot="1" x14ac:dyDescent="0.2">
      <c r="A81" s="176">
        <v>131.74</v>
      </c>
    </row>
    <row r="82" spans="1:1" ht="13.5" thickBot="1" x14ac:dyDescent="0.2">
      <c r="A82" s="176">
        <v>55</v>
      </c>
    </row>
    <row r="83" spans="1:1" ht="13.5" thickBot="1" x14ac:dyDescent="0.2">
      <c r="A83" s="176">
        <v>98.87</v>
      </c>
    </row>
    <row r="84" spans="1:1" ht="13.5" thickBot="1" x14ac:dyDescent="0.2">
      <c r="A84" s="176">
        <v>69.05</v>
      </c>
    </row>
    <row r="85" spans="1:1" ht="13.5" thickBot="1" x14ac:dyDescent="0.2">
      <c r="A85" s="176">
        <v>32.840000000000003</v>
      </c>
    </row>
    <row r="86" spans="1:1" ht="13.5" thickBot="1" x14ac:dyDescent="0.2">
      <c r="A86" s="176">
        <v>42.34</v>
      </c>
    </row>
    <row r="87" spans="1:1" ht="13.5" thickBot="1" x14ac:dyDescent="0.2">
      <c r="A87" s="176">
        <v>30.72</v>
      </c>
    </row>
    <row r="88" spans="1:1" ht="13.5" thickBot="1" x14ac:dyDescent="0.2">
      <c r="A88" s="176">
        <v>31.71</v>
      </c>
    </row>
    <row r="89" spans="1:1" ht="13.5" thickBot="1" x14ac:dyDescent="0.2">
      <c r="A89" s="176">
        <v>69.790000000000006</v>
      </c>
    </row>
    <row r="90" spans="1:1" ht="13.5" thickBot="1" x14ac:dyDescent="0.2">
      <c r="A90" s="176">
        <v>64.25</v>
      </c>
    </row>
    <row r="91" spans="1:1" ht="13.5" thickBot="1" x14ac:dyDescent="0.2">
      <c r="A91" s="176">
        <v>57.95</v>
      </c>
    </row>
    <row r="92" spans="1:1" ht="13.5" thickBot="1" x14ac:dyDescent="0.2">
      <c r="A92" s="176">
        <v>39.24</v>
      </c>
    </row>
    <row r="93" spans="1:1" ht="13.5" thickBot="1" x14ac:dyDescent="0.2">
      <c r="A93" s="176">
        <v>33.520000000000003</v>
      </c>
    </row>
    <row r="94" spans="1:1" ht="13.5" thickBot="1" x14ac:dyDescent="0.2">
      <c r="A94" s="176">
        <v>35.93</v>
      </c>
    </row>
    <row r="95" spans="1:1" ht="13.5" thickBot="1" x14ac:dyDescent="0.2">
      <c r="A95" s="176">
        <v>73.23</v>
      </c>
    </row>
    <row r="96" spans="1:1" ht="13.5" thickBot="1" x14ac:dyDescent="0.2">
      <c r="A96" s="176">
        <v>75</v>
      </c>
    </row>
    <row r="97" spans="1:1" ht="13.5" thickBot="1" x14ac:dyDescent="0.2">
      <c r="A97" s="176">
        <v>39.94</v>
      </c>
    </row>
    <row r="98" spans="1:1" ht="13.5" thickBot="1" x14ac:dyDescent="0.2">
      <c r="A98" s="176">
        <v>53.07</v>
      </c>
    </row>
    <row r="99" spans="1:1" ht="13.5" thickBot="1" x14ac:dyDescent="0.2">
      <c r="A99" s="176">
        <v>37.89</v>
      </c>
    </row>
    <row r="100" spans="1:1" ht="13.5" thickBot="1" x14ac:dyDescent="0.2">
      <c r="A100" s="176">
        <v>58.79</v>
      </c>
    </row>
    <row r="101" spans="1:1" ht="13.5" thickBot="1" x14ac:dyDescent="0.2">
      <c r="A101" s="176">
        <v>70.319999999999993</v>
      </c>
    </row>
    <row r="102" spans="1:1" ht="13.5" thickBot="1" x14ac:dyDescent="0.2">
      <c r="A102" s="176">
        <v>39.04</v>
      </c>
    </row>
    <row r="103" spans="1:1" ht="13.5" thickBot="1" x14ac:dyDescent="0.2">
      <c r="A103" s="176">
        <v>158.74</v>
      </c>
    </row>
    <row r="104" spans="1:1" ht="13.5" thickBot="1" x14ac:dyDescent="0.2">
      <c r="A104" s="176">
        <v>37.11</v>
      </c>
    </row>
    <row r="105" spans="1:1" ht="13.5" thickBot="1" x14ac:dyDescent="0.2">
      <c r="A105" s="176">
        <v>126.34</v>
      </c>
    </row>
    <row r="106" spans="1:1" ht="13.5" thickBot="1" x14ac:dyDescent="0.2">
      <c r="A106" s="176">
        <v>115.67</v>
      </c>
    </row>
    <row r="107" spans="1:1" ht="13.5" thickBot="1" x14ac:dyDescent="0.2">
      <c r="A107" s="176">
        <v>148.13999999999999</v>
      </c>
    </row>
    <row r="108" spans="1:1" ht="13.5" thickBot="1" x14ac:dyDescent="0.2">
      <c r="A108" s="176">
        <v>96.55</v>
      </c>
    </row>
    <row r="109" spans="1:1" ht="13.5" thickBot="1" x14ac:dyDescent="0.2">
      <c r="A109" s="176">
        <v>40</v>
      </c>
    </row>
    <row r="110" spans="1:1" ht="13.5" thickBot="1" x14ac:dyDescent="0.2">
      <c r="A110" s="176">
        <v>36.72</v>
      </c>
    </row>
    <row r="111" spans="1:1" ht="13.5" thickBot="1" x14ac:dyDescent="0.2">
      <c r="A111" s="176">
        <v>36.58</v>
      </c>
    </row>
    <row r="112" spans="1:1" ht="13.5" thickBot="1" x14ac:dyDescent="0.2">
      <c r="A112" s="176">
        <v>110.02</v>
      </c>
    </row>
    <row r="113" spans="1:1" ht="13.5" thickBot="1" x14ac:dyDescent="0.2">
      <c r="A113" s="176">
        <v>63</v>
      </c>
    </row>
    <row r="114" spans="1:1" ht="13.5" thickBot="1" x14ac:dyDescent="0.2">
      <c r="A114" s="176">
        <v>199.83</v>
      </c>
    </row>
    <row r="115" spans="1:1" ht="13.5" thickBot="1" x14ac:dyDescent="0.2">
      <c r="A115" s="176">
        <v>84.7</v>
      </c>
    </row>
    <row r="116" spans="1:1" ht="13.5" thickBot="1" x14ac:dyDescent="0.2">
      <c r="A116" s="176">
        <v>40.21</v>
      </c>
    </row>
    <row r="117" spans="1:1" ht="13.5" thickBot="1" x14ac:dyDescent="0.2">
      <c r="A117" s="176">
        <v>50</v>
      </c>
    </row>
    <row r="118" spans="1:1" ht="13.5" thickBot="1" x14ac:dyDescent="0.2">
      <c r="A118" s="176">
        <v>36.83</v>
      </c>
    </row>
    <row r="119" spans="1:1" ht="13.5" thickBot="1" x14ac:dyDescent="0.2">
      <c r="A119" s="176">
        <v>36.61</v>
      </c>
    </row>
    <row r="120" spans="1:1" ht="13.5" thickBot="1" x14ac:dyDescent="0.2">
      <c r="A120" s="176">
        <v>34.54</v>
      </c>
    </row>
    <row r="121" spans="1:1" ht="13.5" thickBot="1" x14ac:dyDescent="0.2">
      <c r="A121" s="176">
        <v>61.45</v>
      </c>
    </row>
    <row r="122" spans="1:1" ht="13.5" thickBot="1" x14ac:dyDescent="0.2">
      <c r="A122" s="176">
        <v>36.78</v>
      </c>
    </row>
    <row r="123" spans="1:1" ht="13.5" thickBot="1" x14ac:dyDescent="0.2">
      <c r="A123" s="176">
        <v>46.22</v>
      </c>
    </row>
    <row r="124" spans="1:1" ht="13.5" thickBot="1" x14ac:dyDescent="0.2">
      <c r="A124" s="176">
        <v>32.630000000000003</v>
      </c>
    </row>
    <row r="125" spans="1:1" ht="13.5" thickBot="1" x14ac:dyDescent="0.2">
      <c r="A125" s="176">
        <v>162.07</v>
      </c>
    </row>
    <row r="126" spans="1:1" ht="13.5" thickBot="1" x14ac:dyDescent="0.2">
      <c r="A126" s="176">
        <v>43.79</v>
      </c>
    </row>
    <row r="127" spans="1:1" ht="13.5" thickBot="1" x14ac:dyDescent="0.2">
      <c r="A127" s="176">
        <v>36</v>
      </c>
    </row>
    <row r="128" spans="1:1" x14ac:dyDescent="0.15">
      <c r="A128">
        <f>SUM(A2:A127)</f>
        <v>8554.2500000000018</v>
      </c>
    </row>
    <row r="129" spans="1:2" x14ac:dyDescent="0.15">
      <c r="A129">
        <f>+A128*0.6%</f>
        <v>51.325500000000012</v>
      </c>
    </row>
    <row r="133" spans="1:2" x14ac:dyDescent="0.15">
      <c r="A133">
        <v>441.63</v>
      </c>
      <c r="B133" t="s">
        <v>479</v>
      </c>
    </row>
    <row r="134" spans="1:2" x14ac:dyDescent="0.15">
      <c r="A134">
        <v>2000</v>
      </c>
    </row>
    <row r="135" spans="1:2" x14ac:dyDescent="0.15">
      <c r="A135">
        <v>1977.47</v>
      </c>
    </row>
    <row r="136" spans="1:2" x14ac:dyDescent="0.15">
      <c r="A136">
        <v>3629.3</v>
      </c>
    </row>
    <row r="137" spans="1:2" x14ac:dyDescent="0.15">
      <c r="A137">
        <f>SUM(A133:A136)</f>
        <v>8048.4000000000005</v>
      </c>
    </row>
    <row r="138" spans="1:2" x14ac:dyDescent="0.15">
      <c r="A138">
        <f>A137*0.6%</f>
        <v>48.290400000000005</v>
      </c>
    </row>
  </sheetData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6</vt:i4>
      </vt:variant>
    </vt:vector>
  </HeadingPairs>
  <TitlesOfParts>
    <vt:vector size="15" baseType="lpstr">
      <vt:lpstr>BS</vt:lpstr>
      <vt:lpstr>Sch-BS</vt:lpstr>
      <vt:lpstr>Draft-BS</vt:lpstr>
      <vt:lpstr>P &amp; L</vt:lpstr>
      <vt:lpstr>Sch-PL</vt:lpstr>
      <vt:lpstr>Sheet2</vt:lpstr>
      <vt:lpstr>Draft-P&amp;L</vt:lpstr>
      <vt:lpstr>SC-Reco</vt:lpstr>
      <vt:lpstr>Sheet1</vt:lpstr>
      <vt:lpstr>BS!Print_Area</vt:lpstr>
      <vt:lpstr>'P &amp; L'!Print_Area</vt:lpstr>
      <vt:lpstr>'Sch-BS'!Print_Area</vt:lpstr>
      <vt:lpstr>'Sch-PL'!Print_Area</vt:lpstr>
      <vt:lpstr>'Sch-BS'!Print_Titles</vt:lpstr>
      <vt:lpstr>'Sch-PL'!Print_Titles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Lenovo</cp:lastModifiedBy>
  <cp:lastPrinted>2019-08-02T05:23:36Z</cp:lastPrinted>
  <dcterms:created xsi:type="dcterms:W3CDTF">2016-08-09T07:03:13Z</dcterms:created>
  <dcterms:modified xsi:type="dcterms:W3CDTF">2019-11-27T05:55:15Z</dcterms:modified>
</cp:coreProperties>
</file>